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urabh/Dropbox (20n)/Company/Investments/Investor Reporting/2016-12-12.ExecSummary/"/>
    </mc:Choice>
  </mc:AlternateContent>
  <bookViews>
    <workbookView xWindow="28560" yWindow="460" windowWidth="22160" windowHeight="28340" tabRatio="500"/>
  </bookViews>
  <sheets>
    <sheet name="Objectives" sheetId="3" r:id="rId1"/>
    <sheet name="Assumptions" sheetId="8" r:id="rId2"/>
    <sheet name="Fermentation" sheetId="4" r:id="rId3"/>
    <sheet name="FERMOPEX" sheetId="5" r:id="rId4"/>
    <sheet name="DSP Flow" sheetId="6" r:id="rId5"/>
    <sheet name="DSP OPEX" sheetId="7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5" l="1"/>
  <c r="B5" i="4"/>
  <c r="B40" i="4"/>
  <c r="B17" i="4"/>
  <c r="B3" i="4"/>
  <c r="B8" i="4"/>
  <c r="J7" i="8"/>
  <c r="J6" i="8"/>
  <c r="J5" i="8"/>
  <c r="J4" i="8"/>
  <c r="J3" i="8"/>
  <c r="J2" i="8"/>
  <c r="J10" i="8"/>
  <c r="B6" i="8"/>
  <c r="I10" i="8"/>
  <c r="B7" i="8"/>
  <c r="H10" i="8"/>
  <c r="G10" i="8"/>
  <c r="F10" i="8"/>
  <c r="E10" i="8"/>
  <c r="B9" i="4"/>
  <c r="B56" i="4"/>
  <c r="B57" i="4"/>
  <c r="B11" i="6"/>
  <c r="B15" i="6"/>
  <c r="B17" i="6"/>
  <c r="B19" i="6"/>
  <c r="B21" i="6"/>
  <c r="B18" i="6"/>
  <c r="B22" i="6"/>
  <c r="B2" i="6"/>
  <c r="B26" i="6"/>
  <c r="B27" i="6"/>
  <c r="B31" i="6"/>
  <c r="B35" i="6"/>
  <c r="B33" i="6"/>
  <c r="B6" i="6"/>
  <c r="B32" i="6"/>
  <c r="B34" i="6"/>
  <c r="B37" i="6"/>
  <c r="B41" i="6"/>
  <c r="B43" i="6"/>
  <c r="B63" i="6"/>
  <c r="B46" i="6"/>
  <c r="B10" i="6"/>
  <c r="B44" i="6"/>
  <c r="B47" i="6"/>
  <c r="B49" i="6"/>
  <c r="B54" i="6"/>
  <c r="B56" i="6"/>
  <c r="B65" i="6"/>
  <c r="B66" i="6"/>
  <c r="B69" i="6"/>
  <c r="B71" i="6"/>
  <c r="B72" i="6"/>
  <c r="B64" i="6"/>
  <c r="B74" i="6"/>
  <c r="B78" i="6"/>
  <c r="B80" i="6"/>
  <c r="B83" i="6"/>
  <c r="B94" i="6"/>
  <c r="B57" i="6"/>
  <c r="B99" i="6"/>
  <c r="E2" i="6"/>
  <c r="B81" i="6"/>
  <c r="B84" i="6"/>
  <c r="B95" i="6"/>
  <c r="B98" i="6"/>
  <c r="E3" i="6"/>
  <c r="E5" i="6"/>
  <c r="E6" i="6"/>
  <c r="E7" i="6"/>
  <c r="E11" i="6"/>
  <c r="E13" i="6"/>
  <c r="E16" i="6"/>
  <c r="E14" i="6"/>
  <c r="E17" i="6"/>
  <c r="E24" i="6"/>
  <c r="E27" i="6"/>
  <c r="E28" i="6"/>
  <c r="E35" i="6"/>
  <c r="H43" i="6"/>
  <c r="B60" i="6"/>
  <c r="H3" i="6"/>
  <c r="H4" i="6"/>
  <c r="B25" i="7"/>
  <c r="D25" i="7"/>
  <c r="E34" i="6"/>
  <c r="B1" i="7"/>
  <c r="E25" i="7"/>
  <c r="F25" i="7"/>
  <c r="B91" i="6"/>
  <c r="B93" i="6"/>
  <c r="E49" i="6"/>
  <c r="B36" i="6"/>
  <c r="B73" i="6"/>
  <c r="E50" i="6"/>
  <c r="E51" i="6"/>
  <c r="E52" i="6"/>
  <c r="B12" i="4"/>
  <c r="B13" i="4"/>
  <c r="E62" i="6"/>
  <c r="B27" i="7"/>
  <c r="B51" i="7"/>
  <c r="B53" i="7"/>
  <c r="C27" i="7"/>
  <c r="D27" i="7"/>
  <c r="E27" i="7"/>
  <c r="E56" i="6"/>
  <c r="E57" i="6"/>
  <c r="B29" i="7"/>
  <c r="D29" i="7"/>
  <c r="E29" i="7"/>
  <c r="F29" i="7"/>
  <c r="B24" i="6"/>
  <c r="H32" i="6"/>
  <c r="H36" i="6"/>
  <c r="B15" i="7"/>
  <c r="D15" i="7"/>
  <c r="E15" i="7"/>
  <c r="H40" i="6"/>
  <c r="H41" i="6"/>
  <c r="H42" i="6"/>
  <c r="H44" i="6"/>
  <c r="B17" i="7"/>
  <c r="D17" i="7"/>
  <c r="E17" i="7"/>
  <c r="H49" i="6"/>
  <c r="H50" i="6"/>
  <c r="H51" i="6"/>
  <c r="H52" i="6"/>
  <c r="B19" i="7"/>
  <c r="D19" i="7"/>
  <c r="E19" i="7"/>
  <c r="H16" i="6"/>
  <c r="H17" i="6"/>
  <c r="H18" i="6"/>
  <c r="H19" i="6"/>
  <c r="H20" i="6"/>
  <c r="H21" i="6"/>
  <c r="H22" i="6"/>
  <c r="H23" i="6"/>
  <c r="B21" i="7"/>
  <c r="D21" i="7"/>
  <c r="E21" i="7"/>
  <c r="E26" i="6"/>
  <c r="E19" i="6"/>
  <c r="E30" i="6"/>
  <c r="B23" i="7"/>
  <c r="D23" i="7"/>
  <c r="E23" i="7"/>
  <c r="E31" i="7"/>
  <c r="D31" i="7"/>
  <c r="D33" i="7"/>
  <c r="E33" i="7"/>
  <c r="B1" i="5"/>
  <c r="B8" i="7"/>
  <c r="B6" i="5"/>
  <c r="D6" i="5"/>
  <c r="E6" i="5"/>
  <c r="B15" i="4"/>
  <c r="F3" i="4"/>
  <c r="H3" i="4"/>
  <c r="F4" i="4"/>
  <c r="H4" i="4"/>
  <c r="F5" i="4"/>
  <c r="H5" i="4"/>
  <c r="F6" i="4"/>
  <c r="H6" i="4"/>
  <c r="F8" i="4"/>
  <c r="H8" i="4"/>
  <c r="F9" i="4"/>
  <c r="H9" i="4"/>
  <c r="F10" i="4"/>
  <c r="H10" i="4"/>
  <c r="F11" i="4"/>
  <c r="H11" i="4"/>
  <c r="F12" i="4"/>
  <c r="H12" i="4"/>
  <c r="F13" i="4"/>
  <c r="H13" i="4"/>
  <c r="F14" i="4"/>
  <c r="H14" i="4"/>
  <c r="F15" i="4"/>
  <c r="H15" i="4"/>
  <c r="F16" i="4"/>
  <c r="H16" i="4"/>
  <c r="F17" i="4"/>
  <c r="H17" i="4"/>
  <c r="F18" i="4"/>
  <c r="H18" i="4"/>
  <c r="F19" i="4"/>
  <c r="H19" i="4"/>
  <c r="F20" i="4"/>
  <c r="H20" i="4"/>
  <c r="F21" i="4"/>
  <c r="H21" i="4"/>
  <c r="H24" i="4"/>
  <c r="D8" i="5"/>
  <c r="E8" i="5"/>
  <c r="B41" i="4"/>
  <c r="B42" i="4"/>
  <c r="B43" i="4"/>
  <c r="B10" i="5"/>
  <c r="D10" i="5"/>
  <c r="E10" i="5"/>
  <c r="B47" i="4"/>
  <c r="B12" i="5"/>
  <c r="D12" i="5"/>
  <c r="E12" i="5"/>
  <c r="E14" i="5"/>
  <c r="C8" i="7"/>
  <c r="D8" i="7"/>
  <c r="E8" i="7"/>
  <c r="E35" i="7"/>
  <c r="E37" i="7"/>
  <c r="F37" i="7"/>
  <c r="F35" i="7"/>
  <c r="F33" i="7"/>
  <c r="F31" i="7"/>
  <c r="F27" i="7"/>
  <c r="F23" i="7"/>
  <c r="F21" i="7"/>
  <c r="F19" i="7"/>
  <c r="F17" i="7"/>
  <c r="F15" i="7"/>
  <c r="D35" i="7"/>
  <c r="D37" i="7"/>
  <c r="C35" i="7"/>
  <c r="B35" i="7"/>
  <c r="B9" i="6"/>
  <c r="B6" i="7"/>
  <c r="D6" i="7"/>
  <c r="E6" i="7"/>
  <c r="F6" i="7"/>
  <c r="F8" i="7"/>
  <c r="F10" i="7"/>
  <c r="E10" i="7"/>
  <c r="D10" i="7"/>
  <c r="B52" i="4"/>
  <c r="B53" i="4"/>
  <c r="E41" i="4"/>
  <c r="B36" i="4"/>
  <c r="B37" i="4"/>
  <c r="E40" i="4"/>
  <c r="B31" i="4"/>
  <c r="E32" i="4"/>
  <c r="E39" i="4"/>
  <c r="B26" i="4"/>
  <c r="B19" i="4"/>
  <c r="B20" i="4"/>
  <c r="B21" i="4"/>
  <c r="B22" i="4"/>
  <c r="B27" i="4"/>
  <c r="E31" i="4"/>
  <c r="E38" i="4"/>
  <c r="E37" i="6"/>
  <c r="E29" i="6"/>
  <c r="E23" i="6"/>
  <c r="E18" i="6"/>
  <c r="E15" i="6"/>
  <c r="B101" i="6"/>
  <c r="B100" i="6"/>
  <c r="B5" i="6"/>
  <c r="B86" i="6"/>
  <c r="B97" i="6"/>
  <c r="B96" i="6"/>
  <c r="B90" i="6"/>
  <c r="B85" i="6"/>
  <c r="B82" i="6"/>
  <c r="B67" i="6"/>
  <c r="B70" i="6"/>
  <c r="B59" i="6"/>
  <c r="B58" i="6"/>
  <c r="B48" i="6"/>
  <c r="B45" i="6"/>
  <c r="B8" i="6"/>
  <c r="E48" i="4"/>
  <c r="E49" i="4"/>
  <c r="B35" i="5"/>
  <c r="D35" i="5"/>
  <c r="B25" i="5"/>
  <c r="D25" i="5"/>
  <c r="B27" i="5"/>
  <c r="D27" i="5"/>
  <c r="B21" i="5"/>
  <c r="C21" i="5"/>
  <c r="D21" i="5"/>
  <c r="D23" i="5"/>
  <c r="E33" i="4"/>
  <c r="B29" i="5"/>
  <c r="D29" i="5"/>
  <c r="E42" i="4"/>
  <c r="B31" i="5"/>
  <c r="D31" i="5"/>
  <c r="B33" i="5"/>
  <c r="D33" i="5"/>
  <c r="E56" i="4"/>
  <c r="B37" i="5"/>
  <c r="D37" i="5"/>
  <c r="D39" i="5"/>
  <c r="D41" i="5"/>
  <c r="D43" i="5"/>
  <c r="F43" i="5"/>
  <c r="F41" i="5"/>
  <c r="F39" i="5"/>
  <c r="F37" i="5"/>
  <c r="F35" i="5"/>
  <c r="F33" i="5"/>
  <c r="F31" i="5"/>
  <c r="F29" i="5"/>
  <c r="F27" i="5"/>
  <c r="F25" i="5"/>
  <c r="F23" i="5"/>
  <c r="F21" i="5"/>
  <c r="D14" i="5"/>
  <c r="F14" i="5"/>
  <c r="F12" i="5"/>
  <c r="F10" i="5"/>
  <c r="F8" i="5"/>
  <c r="F6" i="5"/>
  <c r="F22" i="4"/>
  <c r="F24" i="4"/>
  <c r="B23" i="5"/>
  <c r="C23" i="5"/>
  <c r="B8" i="5"/>
  <c r="E23" i="5"/>
  <c r="E25" i="5"/>
  <c r="E21" i="5"/>
  <c r="E27" i="5"/>
  <c r="E29" i="5"/>
  <c r="E31" i="5"/>
  <c r="E33" i="5"/>
  <c r="E35" i="5"/>
  <c r="E37" i="5"/>
  <c r="E39" i="5"/>
  <c r="E41" i="5"/>
  <c r="E43" i="5"/>
  <c r="B7" i="4"/>
</calcChain>
</file>

<file path=xl/comments1.xml><?xml version="1.0" encoding="utf-8"?>
<comments xmlns="http://schemas.openxmlformats.org/spreadsheetml/2006/main">
  <authors>
    <author>Microsoft Office User</author>
  </authors>
  <commentList>
    <comment ref="B2" authorId="0">
      <text>
        <r>
          <rPr>
            <sz val="10"/>
            <color indexed="81"/>
            <rFont val="Calibri"/>
          </rPr>
          <t xml:space="preserve">Getting to 75g/L and 30% yield (theoretical maximum is 42%) will take 5-10 years of R&amp;D
</t>
        </r>
      </text>
    </comment>
  </commentList>
</comments>
</file>

<file path=xl/sharedStrings.xml><?xml version="1.0" encoding="utf-8"?>
<sst xmlns="http://schemas.openxmlformats.org/spreadsheetml/2006/main" count="384" uniqueCount="293">
  <si>
    <t>Run Time (hr)</t>
  </si>
  <si>
    <t>TOTAL</t>
  </si>
  <si>
    <t>ELECTRICAL POWER</t>
  </si>
  <si>
    <t>$/unit</t>
  </si>
  <si>
    <t>Steam (MT)</t>
  </si>
  <si>
    <t>$/batch</t>
  </si>
  <si>
    <t>Cooling (kwh)</t>
  </si>
  <si>
    <t>OBJECTIVES AND LIMITATIONS</t>
  </si>
  <si>
    <t>Temperature (Deg. C)</t>
  </si>
  <si>
    <t>Final /intial Volume</t>
  </si>
  <si>
    <t>Nominal Fermenter Volume (L)</t>
  </si>
  <si>
    <t>Height (m)</t>
  </si>
  <si>
    <t>Liquid Head (bar)</t>
  </si>
  <si>
    <t>Air Flow (vvm)</t>
  </si>
  <si>
    <t>Air Flow (slpm)</t>
  </si>
  <si>
    <t>Fermenter Aspect Ratio</t>
  </si>
  <si>
    <t>Fermenter Diameter (m)</t>
  </si>
  <si>
    <t>Agitation Power (kw)</t>
  </si>
  <si>
    <t>Agitation Rate (kw/m3)</t>
  </si>
  <si>
    <t>Design Head (bar)</t>
  </si>
  <si>
    <t>OUR (mmol O2/L/hr)</t>
  </si>
  <si>
    <t>Microbial Heat Generation (kJ/mmol 02)</t>
  </si>
  <si>
    <t>Microbial Heat Generation Rate (kJ/L/hr)</t>
  </si>
  <si>
    <t>Microbial Heat Generation (kw)</t>
  </si>
  <si>
    <t>CIP Time (hr)</t>
  </si>
  <si>
    <t>Cycle Time (hr)</t>
  </si>
  <si>
    <t>Air Compressor Power (kw)</t>
  </si>
  <si>
    <t>Glucose Consumed (kg)</t>
  </si>
  <si>
    <t>kg / batch</t>
  </si>
  <si>
    <t>$/kg</t>
  </si>
  <si>
    <t>Compressor (kwh)</t>
  </si>
  <si>
    <t>Agitator(kwh)</t>
  </si>
  <si>
    <t>FeSO4.7H2O</t>
  </si>
  <si>
    <t>ZnSO4.7H2O</t>
  </si>
  <si>
    <t>CaCl2.2H2O</t>
  </si>
  <si>
    <t>Na2MoO4.2H2O</t>
  </si>
  <si>
    <t>CoCl2.6H20</t>
  </si>
  <si>
    <t>MnCl2.4H2O</t>
  </si>
  <si>
    <t>Biotin</t>
  </si>
  <si>
    <t>g/kg in media</t>
  </si>
  <si>
    <t xml:space="preserve">Mg SO4.7H20 </t>
  </si>
  <si>
    <t xml:space="preserve">(NH4)2 SO4 </t>
  </si>
  <si>
    <t>Glucose Batched (kg)</t>
  </si>
  <si>
    <t>Glucose Fed (kg)</t>
  </si>
  <si>
    <t>$/kg broth</t>
  </si>
  <si>
    <t>PRODUCTIVITY AND TITER</t>
  </si>
  <si>
    <t>Final Dry Cell Weight (g/kg)</t>
  </si>
  <si>
    <t>AGITATOR POWER</t>
  </si>
  <si>
    <t>YIELD ON GLUCOSE</t>
  </si>
  <si>
    <t>MICROBIAL HEAT</t>
  </si>
  <si>
    <t>COMPRESSOR POWER</t>
  </si>
  <si>
    <t>Microbial Heat (kwh)</t>
  </si>
  <si>
    <t>AMMONIA USE</t>
  </si>
  <si>
    <t>Ammonia/Glucose (kg/kg)</t>
  </si>
  <si>
    <t>Ammonia (kg)</t>
  </si>
  <si>
    <t>STEAM USE</t>
  </si>
  <si>
    <t>Fed Glucose (kg)</t>
  </si>
  <si>
    <t>Initial Temperature (Deg.C)</t>
  </si>
  <si>
    <t>Sterilized Temperature (Deg.C)</t>
  </si>
  <si>
    <t>Media Volume (kg)</t>
  </si>
  <si>
    <t>RENTAL, LABOR, MARGIN MINUS UTILITIES AND RAWS</t>
  </si>
  <si>
    <t>Days</t>
  </si>
  <si>
    <t>"Rental" Charges (VLD)</t>
  </si>
  <si>
    <t>folded into rental</t>
  </si>
  <si>
    <t>KH2PO4</t>
  </si>
  <si>
    <t xml:space="preserve"> MEDIA</t>
  </si>
  <si>
    <t>mg/kg in media</t>
  </si>
  <si>
    <t>CuSO4</t>
  </si>
  <si>
    <t>Ca Pantothenate</t>
  </si>
  <si>
    <t>Nicotinic Acid</t>
  </si>
  <si>
    <t>Myoinositol</t>
  </si>
  <si>
    <t>Thiamine HCl</t>
  </si>
  <si>
    <t>Pyroxidol HCl</t>
  </si>
  <si>
    <t>EDTA</t>
  </si>
  <si>
    <t>LABOR</t>
  </si>
  <si>
    <t>Number of Employees</t>
  </si>
  <si>
    <t>Hours/Year</t>
  </si>
  <si>
    <t>CAPITAL</t>
  </si>
  <si>
    <t>Batches/Year</t>
  </si>
  <si>
    <t>APAP Productivity (g/L/hr)</t>
  </si>
  <si>
    <t>Yield on Glucose: APAP/glucose (%)</t>
  </si>
  <si>
    <t>Hours/Batch</t>
  </si>
  <si>
    <t>Electrical power (kwh)</t>
  </si>
  <si>
    <t>units/batch</t>
  </si>
  <si>
    <t>Depreciation Life (yr)</t>
  </si>
  <si>
    <t>Depreciation/Batch</t>
  </si>
  <si>
    <t>SUBTOTAL</t>
  </si>
  <si>
    <t>Margin (%)</t>
  </si>
  <si>
    <t>Total</t>
  </si>
  <si>
    <t>Antifoam</t>
  </si>
  <si>
    <t>Glucose</t>
  </si>
  <si>
    <t>Initial Batch Volume (kg)</t>
  </si>
  <si>
    <t xml:space="preserve">Media (kg) </t>
  </si>
  <si>
    <t>Total APAP at fermenter (kg)</t>
  </si>
  <si>
    <t>FERMENTATION OVERVIEW</t>
  </si>
  <si>
    <t>SOLID WASTE SUMMARY</t>
  </si>
  <si>
    <t>Hours/year</t>
  </si>
  <si>
    <t>Recovery Yield (%)</t>
  </si>
  <si>
    <t>APAP Fermentation Titer (g/kg)</t>
  </si>
  <si>
    <t>ADB Fermentation Titer (g/kg)</t>
  </si>
  <si>
    <t>Fermentation APAP Purity (%)</t>
  </si>
  <si>
    <t>ULTRAFILTRATION (CELL REMOVAL)</t>
  </si>
  <si>
    <t>STEAM</t>
  </si>
  <si>
    <t xml:space="preserve">VCF Before DF </t>
  </si>
  <si>
    <t>CHEMICALS</t>
  </si>
  <si>
    <t>DF Wash/Retentate</t>
  </si>
  <si>
    <t>Flux (kg/hr/m2)</t>
  </si>
  <si>
    <t>Total Area (m2)</t>
  </si>
  <si>
    <t>Recovery (%)</t>
  </si>
  <si>
    <t>UF Pumping</t>
  </si>
  <si>
    <t>APAP Conc. (g/kg)</t>
  </si>
  <si>
    <t>Evaporation Temperature (Deg. C)</t>
  </si>
  <si>
    <t>Target APAP Concentration (g/kg)</t>
  </si>
  <si>
    <t>Expected ADB Concentration (g/kg)</t>
  </si>
  <si>
    <t>Cooling #1</t>
  </si>
  <si>
    <t xml:space="preserve">Condenser #1 </t>
  </si>
  <si>
    <t xml:space="preserve">Condenser#2 </t>
  </si>
  <si>
    <t>Crystallization Temperature (Deg. C)</t>
  </si>
  <si>
    <t>APAP Solubility (g/kg)</t>
  </si>
  <si>
    <t>ADB Solubility (g/kg)</t>
  </si>
  <si>
    <t>APAP Supernatant Purity (%)</t>
  </si>
  <si>
    <t>APAP Crystal Purity (%)</t>
  </si>
  <si>
    <t>APAP Cake Solids (%)</t>
  </si>
  <si>
    <t>APAP Cake Liquid (%)</t>
  </si>
  <si>
    <t>Water Wash (g H2O/g wet cake)</t>
  </si>
  <si>
    <t>Step APAP Yield in Crystals (%)</t>
  </si>
  <si>
    <t>APAP Concentration (g/kg)</t>
  </si>
  <si>
    <t>ADB Concentration (g/kg)</t>
  </si>
  <si>
    <t>Final APAP  (kg)</t>
  </si>
  <si>
    <t>Fermentation ADB (kg)</t>
  </si>
  <si>
    <t>Broth Weight (kg)</t>
  </si>
  <si>
    <t>Design Feed (kg)</t>
  </si>
  <si>
    <t>UF Retentate (kg)</t>
  </si>
  <si>
    <t>UF Permeate (kg)</t>
  </si>
  <si>
    <t>DF Retentate (kg)</t>
  </si>
  <si>
    <t>DF Permeate (kg)</t>
  </si>
  <si>
    <t>Total Product Permeate (kg)</t>
  </si>
  <si>
    <t>Total APAP  (kg)</t>
  </si>
  <si>
    <t>APAP Concentrated Solution (kg)</t>
  </si>
  <si>
    <t>APAP in Supernatant (kg)</t>
  </si>
  <si>
    <t>ADB in Supernatant (kg)</t>
  </si>
  <si>
    <t>APAP in Crystals (kg)</t>
  </si>
  <si>
    <t>ADB in Crystals (kg)</t>
  </si>
  <si>
    <t>MT</t>
  </si>
  <si>
    <t>kwh</t>
  </si>
  <si>
    <t>Liquid Solution (kg)</t>
  </si>
  <si>
    <t>Product  Wet Cake (kg)</t>
  </si>
  <si>
    <t>Water Wash (kg)</t>
  </si>
  <si>
    <t>Supernatant +Wash Liquid (kg)</t>
  </si>
  <si>
    <t>APAP in crystals  (kg)</t>
  </si>
  <si>
    <t>ADB in crystals  (kg)</t>
  </si>
  <si>
    <t>APAP in First Supernatant (kg)</t>
  </si>
  <si>
    <t>Supernatant to 2nd evap (kg)</t>
  </si>
  <si>
    <t>ADB in First Supernatant  (kg)</t>
  </si>
  <si>
    <t>APAP in Concentrated Solution (kg)</t>
  </si>
  <si>
    <t>Water Evaporated/Condensed for Re-use (kg)</t>
  </si>
  <si>
    <t>Water in Slurry (kg)</t>
  </si>
  <si>
    <t>APAP in crystals (kg)</t>
  </si>
  <si>
    <t>Electrical Power (kwh)</t>
  </si>
  <si>
    <t>Liquid Waste (m3)</t>
  </si>
  <si>
    <t>Broth (kg)</t>
  </si>
  <si>
    <t>CAPEX</t>
  </si>
  <si>
    <t xml:space="preserve">new purchase ($K) </t>
  </si>
  <si>
    <t>factor of 2 for new equipment in existing plant</t>
  </si>
  <si>
    <t>Operating hours/batch</t>
  </si>
  <si>
    <t>APAP in Concentrate (kg)</t>
  </si>
  <si>
    <t>ADB in Concentrate (kg)</t>
  </si>
  <si>
    <t>Water in Concentrate (kg)</t>
  </si>
  <si>
    <t>HEATING TO ELEVATED TEMPERATURE, EVAPORATION (Heating 1)</t>
  </si>
  <si>
    <t>FIRST COOLING TO TO CRYSTALLIZE APAP (Cooling #1)</t>
  </si>
  <si>
    <t>FIRST CENTRIFUGATION (Centrifuge #1)</t>
  </si>
  <si>
    <t>HEATING OF FIRST SUPERNATANT AND WASH, EVAPORATION (Heating #2)</t>
  </si>
  <si>
    <t>SECOND COOLING TO TO CRYSTALLIZE APAP (Cooling #2)</t>
  </si>
  <si>
    <t>CENTRIFUGATION #2 (Centrifuge #2)</t>
  </si>
  <si>
    <t>Waste Supernatant + Wash (kg)</t>
  </si>
  <si>
    <t>Total APAP in both crystals (kg)</t>
  </si>
  <si>
    <t>Total ADB in both crystals (kg)</t>
  </si>
  <si>
    <t>Overall Crystallization yield (%)</t>
  </si>
  <si>
    <t>Overall crystal purity (%)</t>
  </si>
  <si>
    <t>Solution Temperature (Deg. C)</t>
  </si>
  <si>
    <t>Total APAP in Crystals (kg)</t>
  </si>
  <si>
    <t>Total ADB in Crystals (Kg)</t>
  </si>
  <si>
    <t>Total Water Added (kg)</t>
  </si>
  <si>
    <t>Total Slurry Weight (kg)</t>
  </si>
  <si>
    <t>FINAL COOLING TO TO CRYSTALLIZE APAP (Cooling #3)</t>
  </si>
  <si>
    <t>DRYING</t>
  </si>
  <si>
    <t>Yield (%)</t>
  </si>
  <si>
    <t>Final APAP (kg)</t>
  </si>
  <si>
    <t>CENTRIFUGATION #3 (Centrifuge #3)</t>
  </si>
  <si>
    <t>Water Evaporated</t>
  </si>
  <si>
    <t>Overall APAP Recovery (kg)</t>
  </si>
  <si>
    <t>Tower Water Cooling (kwh)</t>
  </si>
  <si>
    <t>Chilled Water Cooling (kwh)</t>
  </si>
  <si>
    <t>Heating #3</t>
  </si>
  <si>
    <t>RESUSPENSION OF CRYSTALS (Heating #3)</t>
  </si>
  <si>
    <t xml:space="preserve">Capital (dep yr) </t>
  </si>
  <si>
    <t>Heating  #1</t>
  </si>
  <si>
    <t>Heating  #2</t>
  </si>
  <si>
    <t>DF Water Heating</t>
  </si>
  <si>
    <t>APAP/Batch (kg)</t>
  </si>
  <si>
    <t>$/kg APAP</t>
  </si>
  <si>
    <t>BROTH AMOUNT (kg)</t>
  </si>
  <si>
    <t>UF Pumping (0.2 kw/m2)</t>
  </si>
  <si>
    <t>TOWER WATER COOLING</t>
  </si>
  <si>
    <t>Evaporation #2 (3-effect)</t>
  </si>
  <si>
    <t>Evaporation #1 (3-effect)</t>
  </si>
  <si>
    <t>CHILLED WATER COOLING</t>
  </si>
  <si>
    <t>Cooling #2</t>
  </si>
  <si>
    <t>Cooling #3</t>
  </si>
  <si>
    <t>TFF</t>
  </si>
  <si>
    <t>cost for new machine</t>
  </si>
  <si>
    <t>Vessel Size (L)</t>
  </si>
  <si>
    <t>Total Broth Volume (kg)</t>
  </si>
  <si>
    <t>Average APAP Titer (g/L)</t>
  </si>
  <si>
    <t>Liter-Days</t>
  </si>
  <si>
    <t>COOLING (Chilled Water)</t>
  </si>
  <si>
    <t>Compressor Heat (kwh)</t>
  </si>
  <si>
    <t>Agitator Heat (kwh)</t>
  </si>
  <si>
    <t>Sterizing Heat (kwh)</t>
  </si>
  <si>
    <t>"Rental" Charges (hours)</t>
  </si>
  <si>
    <t>Fermentation APAP (kg)</t>
  </si>
  <si>
    <t>DSP Processing Time (hr)</t>
  </si>
  <si>
    <t>$/MT APAP</t>
  </si>
  <si>
    <t>Drying</t>
  </si>
  <si>
    <t>Centrifuge #1 (40 kw, 40 hr)</t>
  </si>
  <si>
    <t>Centrifuge #2 (40 kw, 45 hr)</t>
  </si>
  <si>
    <t>Centrifuge #3 (40 kw, 45 hr)</t>
  </si>
  <si>
    <t>Labor (hours))</t>
  </si>
  <si>
    <t>Labor (hours)</t>
  </si>
  <si>
    <t>MARGIN (%)</t>
  </si>
  <si>
    <t>Dryer</t>
  </si>
  <si>
    <t>C1, C2, C3 centrifuges</t>
  </si>
  <si>
    <t>Capital (dep-yr)</t>
  </si>
  <si>
    <t>cost for new machines</t>
  </si>
  <si>
    <t>cost for new unit</t>
  </si>
  <si>
    <t>TOTAL INSTALLED CAPITAL</t>
  </si>
  <si>
    <t>folded ino rental</t>
  </si>
  <si>
    <t>Water Used (kg)</t>
  </si>
  <si>
    <t>Water recycled (kg)</t>
  </si>
  <si>
    <t>Net Water</t>
  </si>
  <si>
    <t>ignored</t>
  </si>
  <si>
    <t>Water at $0.80/m3 ($)</t>
  </si>
  <si>
    <t>Total Retentate Stream (kg)</t>
  </si>
  <si>
    <t>Stream for Landfill (MT)</t>
  </si>
  <si>
    <t>Landfill Solid Waste (MT)</t>
  </si>
  <si>
    <t>3. All liquid and solid biomass disposal costs are captured in the DSP</t>
  </si>
  <si>
    <t>4. Fermentation media costs from Ali Baba at this point</t>
  </si>
  <si>
    <t>1. The primary objective is to develop a rough overall cost;fermentation and DSp are linked</t>
  </si>
  <si>
    <t>2. Two CMO models used: one based upon "rental cost" plus raws; the other bulit up from basics including margin (they are close)</t>
  </si>
  <si>
    <t>5. There is the capability of assuming drawoffs in the model</t>
  </si>
  <si>
    <t>Target APAP Concentration at Temperature  (g/kg)</t>
  </si>
  <si>
    <t>Dryer Condenser</t>
  </si>
  <si>
    <t>"Rental"  (Liter-Day)</t>
  </si>
  <si>
    <t>$/MT APAP at fermenter (100% recovery)</t>
  </si>
  <si>
    <t>Germany</t>
  </si>
  <si>
    <t>India</t>
  </si>
  <si>
    <t>China</t>
  </si>
  <si>
    <t>US Midwest</t>
  </si>
  <si>
    <t>Titer (g/L)</t>
  </si>
  <si>
    <t>Number of draws</t>
  </si>
  <si>
    <t>Tate &amp; Lyle</t>
  </si>
  <si>
    <t>Italy</t>
  </si>
  <si>
    <t>Corden Pharma</t>
  </si>
  <si>
    <t>$0.05-$0.1/LD</t>
  </si>
  <si>
    <t>$0.075-$0.15/LD</t>
  </si>
  <si>
    <t>$0.05-$0.06/LD</t>
  </si>
  <si>
    <t>Abbvie</t>
  </si>
  <si>
    <t>Unnamed</t>
  </si>
  <si>
    <t>Augmene</t>
  </si>
  <si>
    <t>$0.5-$1.0/L for broth; divide by number of days</t>
  </si>
  <si>
    <t>Capua Bioservices</t>
  </si>
  <si>
    <t>$2.3-$2.5M for 60kL-240kL tanks per year including DSP</t>
  </si>
  <si>
    <t>$0.133-$0.199/LD</t>
  </si>
  <si>
    <t>$160,000 per 100m3 tank per month</t>
  </si>
  <si>
    <t>$1.5M for 3 x 200m3 tanks per month</t>
  </si>
  <si>
    <t>$0.075/LD</t>
  </si>
  <si>
    <t>Quote received</t>
  </si>
  <si>
    <t>$/LD equivalent</t>
  </si>
  <si>
    <t>$0.05-$0.1/LD for 19x120m3 and 14x40m3 tanks</t>
  </si>
  <si>
    <t>$0.075-$0.15/LD for 30x100m3 tanks</t>
  </si>
  <si>
    <t>Facility</t>
  </si>
  <si>
    <t>Location</t>
  </si>
  <si>
    <t>$0.1-$0.2/LD</t>
  </si>
  <si>
    <t>Best Rate to be expected($/LD rounded to cents)</t>
  </si>
  <si>
    <t>Picked for model</t>
  </si>
  <si>
    <t>Input</t>
  </si>
  <si>
    <t>Value</t>
  </si>
  <si>
    <t>Rate ($/LD)</t>
  </si>
  <si>
    <t>Monthly rental cost for 200m3 of tank volume</t>
  </si>
  <si>
    <t>Rental rate ($/200m3/month)</t>
  </si>
  <si>
    <t>Tank size (L)</t>
  </si>
  <si>
    <t>RENTAL MODEL, i.e., Using rental quotes for end-to-end from CMOs</t>
  </si>
  <si>
    <t>"BOTTOM UP" MODEL, i.e., Calculating from first principles CMO costs and adding their profit margin to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</si>
</sst>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.00;[Red]\-&quot;$&quot;#,##0.00"/>
    <numFmt numFmtId="165" formatCode="_-&quot;$&quot;* #,##0.00_-;\-&quot;$&quot;* #,##0.00_-;_-&quot;$&quot;* &quot;-&quot;??_-;_-@_-"/>
    <numFmt numFmtId="166" formatCode="0.0"/>
    <numFmt numFmtId="167" formatCode="0.000"/>
    <numFmt numFmtId="168" formatCode="0.00000"/>
    <numFmt numFmtId="169" formatCode="0.0000"/>
    <numFmt numFmtId="170" formatCode="_-&quot;$&quot;* #,##0_-;\-&quot;$&quot;* #,##0_-;_-&quot;$&quot;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theme="1"/>
      <name val="Calibri"/>
      <scheme val="minor"/>
    </font>
    <font>
      <b/>
      <i/>
      <sz val="10"/>
      <color rgb="FF000000"/>
      <name val="Calibri"/>
      <scheme val="minor"/>
    </font>
    <font>
      <b/>
      <i/>
      <sz val="11"/>
      <color rgb="FF000000"/>
      <name val="Calibri"/>
      <scheme val="minor"/>
    </font>
    <font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0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quotePrefix="1" applyFont="1" applyAlignment="1">
      <alignment horizontal="center"/>
    </xf>
    <xf numFmtId="167" fontId="8" fillId="0" borderId="0" xfId="0" applyNumberFormat="1" applyFont="1"/>
    <xf numFmtId="1" fontId="0" fillId="0" borderId="0" xfId="0" applyNumberFormat="1"/>
    <xf numFmtId="167" fontId="9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2" fontId="8" fillId="0" borderId="0" xfId="0" quotePrefix="1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indent="1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16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/>
    <xf numFmtId="0" fontId="9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70" fontId="0" fillId="0" borderId="0" xfId="403" applyNumberFormat="1" applyFont="1"/>
    <xf numFmtId="170" fontId="0" fillId="0" borderId="0" xfId="0" applyNumberFormat="1"/>
  </cellXfs>
  <cellStyles count="404">
    <cellStyle name="Currency" xfId="40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546101</xdr:colOff>
      <xdr:row>13</xdr:row>
      <xdr:rowOff>120788</xdr:rowOff>
    </xdr:from>
    <xdr:to>
      <xdr:col>8</xdr:col>
      <xdr:colOff>711200</xdr:colOff>
      <xdr:row>38</xdr:row>
      <xdr:rowOff>9267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3401" y="3371988"/>
          <a:ext cx="7454899" cy="4968479"/>
        </a:xfrm>
        <a:prstGeom prst="rect">
          <a:avLst/>
        </a:prstGeom>
        <a:ln w="25400" cmpd="sng">
          <a:solidFill>
            <a:schemeClr val="tx1"/>
          </a:solidFill>
        </a:ln>
        <a:effectLst>
          <a:outerShdw blurRad="50800" dist="584200" dir="5400000" sx="26000" sy="26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E66" sqref="E66"/>
    </sheetView>
  </sheetViews>
  <sheetFormatPr baseColWidth="10" defaultRowHeight="16" x14ac:dyDescent="0.2"/>
  <sheetData>
    <row r="1" spans="1:1" x14ac:dyDescent="0.2">
      <c r="A1" s="18" t="s">
        <v>7</v>
      </c>
    </row>
    <row r="3" spans="1:1" x14ac:dyDescent="0.2">
      <c r="A3" s="18" t="s">
        <v>247</v>
      </c>
    </row>
    <row r="5" spans="1:1" x14ac:dyDescent="0.2">
      <c r="A5" s="18" t="s">
        <v>248</v>
      </c>
    </row>
    <row r="7" spans="1:1" x14ac:dyDescent="0.2">
      <c r="A7" s="18" t="s">
        <v>245</v>
      </c>
    </row>
    <row r="8" spans="1:1" x14ac:dyDescent="0.2">
      <c r="A8" s="18"/>
    </row>
    <row r="9" spans="1:1" x14ac:dyDescent="0.2">
      <c r="A9" s="18" t="s">
        <v>246</v>
      </c>
    </row>
    <row r="10" spans="1:1" x14ac:dyDescent="0.2">
      <c r="A10" s="18"/>
    </row>
    <row r="11" spans="1:1" x14ac:dyDescent="0.2">
      <c r="A11" s="60" t="s">
        <v>249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>
      <selection activeCell="B9" sqref="B9"/>
    </sheetView>
  </sheetViews>
  <sheetFormatPr baseColWidth="10" defaultRowHeight="16" x14ac:dyDescent="0.2"/>
  <cols>
    <col min="1" max="1" width="22.33203125" customWidth="1"/>
    <col min="6" max="6" width="14.33203125" customWidth="1"/>
    <col min="7" max="7" width="31.33203125" customWidth="1"/>
    <col min="8" max="8" width="17.5" customWidth="1"/>
    <col min="9" max="9" width="17.83203125" customWidth="1"/>
    <col min="10" max="10" width="13.5" bestFit="1" customWidth="1"/>
  </cols>
  <sheetData>
    <row r="1" spans="1:10" ht="64" x14ac:dyDescent="0.2">
      <c r="A1" s="70" t="s">
        <v>285</v>
      </c>
      <c r="B1" s="70" t="s">
        <v>286</v>
      </c>
      <c r="C1" s="71"/>
      <c r="D1" s="71"/>
      <c r="E1" s="70" t="s">
        <v>281</v>
      </c>
      <c r="F1" s="70" t="s">
        <v>280</v>
      </c>
      <c r="G1" s="70" t="s">
        <v>276</v>
      </c>
      <c r="H1" s="70" t="s">
        <v>277</v>
      </c>
      <c r="I1" s="70" t="s">
        <v>283</v>
      </c>
      <c r="J1" s="70" t="s">
        <v>288</v>
      </c>
    </row>
    <row r="2" spans="1:10" x14ac:dyDescent="0.2">
      <c r="A2" t="s">
        <v>258</v>
      </c>
      <c r="B2">
        <v>75</v>
      </c>
      <c r="D2">
        <v>1</v>
      </c>
      <c r="E2" t="s">
        <v>254</v>
      </c>
      <c r="F2" t="s">
        <v>262</v>
      </c>
      <c r="G2" t="s">
        <v>278</v>
      </c>
      <c r="H2" t="s">
        <v>263</v>
      </c>
      <c r="I2" s="69">
        <v>0.05</v>
      </c>
      <c r="J2" s="72">
        <f>I2*30*200000</f>
        <v>300000</v>
      </c>
    </row>
    <row r="3" spans="1:10" x14ac:dyDescent="0.2">
      <c r="A3" t="s">
        <v>186</v>
      </c>
      <c r="B3">
        <v>30</v>
      </c>
      <c r="D3">
        <v>2</v>
      </c>
      <c r="E3" t="s">
        <v>257</v>
      </c>
      <c r="F3" t="s">
        <v>260</v>
      </c>
      <c r="G3" t="s">
        <v>274</v>
      </c>
      <c r="H3" t="s">
        <v>275</v>
      </c>
      <c r="I3" s="69">
        <v>7.4999999999999997E-2</v>
      </c>
      <c r="J3" s="72">
        <f t="shared" ref="J3:J7" si="0">I3*30*200000</f>
        <v>450000</v>
      </c>
    </row>
    <row r="4" spans="1:10" x14ac:dyDescent="0.2">
      <c r="A4" t="s">
        <v>290</v>
      </c>
      <c r="B4" s="25">
        <v>200000</v>
      </c>
      <c r="D4">
        <v>3</v>
      </c>
      <c r="E4" t="s">
        <v>257</v>
      </c>
      <c r="F4" t="s">
        <v>266</v>
      </c>
      <c r="G4" t="s">
        <v>279</v>
      </c>
      <c r="H4" t="s">
        <v>264</v>
      </c>
      <c r="I4" s="69">
        <v>7.4999999999999997E-2</v>
      </c>
      <c r="J4" s="72">
        <f t="shared" si="0"/>
        <v>450000</v>
      </c>
    </row>
    <row r="5" spans="1:10" x14ac:dyDescent="0.2">
      <c r="A5" t="s">
        <v>259</v>
      </c>
      <c r="B5">
        <v>3</v>
      </c>
      <c r="D5">
        <v>4</v>
      </c>
      <c r="E5" t="s">
        <v>255</v>
      </c>
      <c r="F5" t="s">
        <v>268</v>
      </c>
      <c r="G5" t="s">
        <v>269</v>
      </c>
      <c r="H5" t="s">
        <v>282</v>
      </c>
      <c r="I5" s="69">
        <v>0.1</v>
      </c>
      <c r="J5" s="72">
        <f t="shared" si="0"/>
        <v>600000</v>
      </c>
    </row>
    <row r="6" spans="1:10" x14ac:dyDescent="0.2">
      <c r="A6" t="s">
        <v>289</v>
      </c>
      <c r="B6" s="73">
        <f>J10</f>
        <v>300000</v>
      </c>
      <c r="D6">
        <v>5</v>
      </c>
      <c r="E6" t="s">
        <v>256</v>
      </c>
      <c r="F6" t="s">
        <v>267</v>
      </c>
      <c r="G6" t="s">
        <v>273</v>
      </c>
      <c r="H6" t="s">
        <v>265</v>
      </c>
      <c r="I6" s="69">
        <v>0.05</v>
      </c>
      <c r="J6" s="72">
        <f t="shared" si="0"/>
        <v>300000</v>
      </c>
    </row>
    <row r="7" spans="1:10" x14ac:dyDescent="0.2">
      <c r="A7" t="s">
        <v>287</v>
      </c>
      <c r="B7">
        <f>I10</f>
        <v>0.05</v>
      </c>
      <c r="D7">
        <v>6</v>
      </c>
      <c r="E7" t="s">
        <v>261</v>
      </c>
      <c r="F7" t="s">
        <v>270</v>
      </c>
      <c r="G7" t="s">
        <v>271</v>
      </c>
      <c r="H7" s="68" t="s">
        <v>272</v>
      </c>
      <c r="I7" s="69">
        <v>0.13</v>
      </c>
      <c r="J7" s="72">
        <f t="shared" si="0"/>
        <v>780000.00000000012</v>
      </c>
    </row>
    <row r="9" spans="1:10" x14ac:dyDescent="0.2">
      <c r="D9" t="s">
        <v>284</v>
      </c>
    </row>
    <row r="10" spans="1:10" x14ac:dyDescent="0.2">
      <c r="D10">
        <v>1</v>
      </c>
      <c r="E10" t="str">
        <f>CHOOSE($D$10,E2,E3,E4,E5,E6,E7)</f>
        <v>Germany</v>
      </c>
      <c r="F10" t="str">
        <f t="shared" ref="F10:J10" si="1">CHOOSE($D$10,F2,F3,F4,F5,F6,F7)</f>
        <v>Corden Pharma</v>
      </c>
      <c r="G10" t="str">
        <f t="shared" si="1"/>
        <v>$0.05-$0.1/LD for 19x120m3 and 14x40m3 tanks</v>
      </c>
      <c r="H10" t="str">
        <f t="shared" si="1"/>
        <v>$0.05-$0.1/LD</v>
      </c>
      <c r="I10">
        <f t="shared" si="1"/>
        <v>0.05</v>
      </c>
      <c r="J10" s="72">
        <f t="shared" si="1"/>
        <v>300000</v>
      </c>
    </row>
  </sheetData>
  <pageMargins left="0.7" right="0.7" top="0.75" bottom="0.75" header="0.3" footer="0.3"/>
  <pageSetup orientation="portrait" horizontalDpi="0" verticalDpi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H57"/>
  <sheetViews>
    <sheetView workbookViewId="0">
      <selection activeCell="B51" sqref="B51"/>
    </sheetView>
  </sheetViews>
  <sheetFormatPr baseColWidth="10" defaultRowHeight="16" x14ac:dyDescent="0.2"/>
  <cols>
    <col min="1" max="1" width="29.5" style="3" customWidth="1"/>
    <col min="2" max="2" width="10.1640625" style="2" customWidth="1"/>
    <col min="3" max="3" width="13.33203125" style="3" customWidth="1"/>
    <col min="4" max="4" width="16.5" style="3" customWidth="1"/>
    <col min="5" max="5" width="11.33203125" style="2" customWidth="1"/>
    <col min="6" max="6" width="12.1640625" style="2" customWidth="1"/>
    <col min="7" max="7" width="12.33203125" style="2" customWidth="1"/>
    <col min="8" max="8" width="9.83203125" style="2" customWidth="1"/>
    <col min="9" max="9" width="4" customWidth="1"/>
  </cols>
  <sheetData>
    <row r="2" spans="1:8" x14ac:dyDescent="0.2">
      <c r="A2" s="1" t="s">
        <v>45</v>
      </c>
      <c r="D2" s="1" t="s">
        <v>65</v>
      </c>
      <c r="E2" s="2" t="s">
        <v>39</v>
      </c>
      <c r="F2" s="2" t="s">
        <v>28</v>
      </c>
      <c r="G2" s="2" t="s">
        <v>29</v>
      </c>
      <c r="H2" s="2" t="s">
        <v>5</v>
      </c>
    </row>
    <row r="3" spans="1:8" x14ac:dyDescent="0.2">
      <c r="A3" s="3" t="s">
        <v>211</v>
      </c>
      <c r="B3" s="4">
        <f>Assumptions!B4</f>
        <v>200000</v>
      </c>
      <c r="D3" s="3" t="s">
        <v>64</v>
      </c>
      <c r="E3" s="6">
        <v>8</v>
      </c>
      <c r="F3" s="4">
        <f>$B$15*E3/1000</f>
        <v>1800</v>
      </c>
      <c r="G3" s="2">
        <v>1.05</v>
      </c>
      <c r="H3" s="4">
        <f>G3*F3</f>
        <v>1890</v>
      </c>
    </row>
    <row r="4" spans="1:8" x14ac:dyDescent="0.2">
      <c r="A4" s="19" t="s">
        <v>76</v>
      </c>
      <c r="B4" s="20">
        <v>8400</v>
      </c>
      <c r="D4" s="3" t="s">
        <v>40</v>
      </c>
      <c r="E4" s="6">
        <v>6</v>
      </c>
      <c r="F4" s="4">
        <f>$B$15*E4/1000</f>
        <v>1350</v>
      </c>
      <c r="G4" s="7">
        <v>0.1</v>
      </c>
      <c r="H4" s="4">
        <f>G4*F4</f>
        <v>135</v>
      </c>
    </row>
    <row r="5" spans="1:8" x14ac:dyDescent="0.2">
      <c r="A5" s="3" t="s">
        <v>212</v>
      </c>
      <c r="B5" s="2">
        <f>90%*B3+(50%*B17*Assumptions!B5)</f>
        <v>450000</v>
      </c>
      <c r="D5" s="3" t="s">
        <v>41</v>
      </c>
      <c r="E5" s="6">
        <v>15</v>
      </c>
      <c r="F5" s="4">
        <f>$B$15*E5/1000</f>
        <v>3375</v>
      </c>
      <c r="G5" s="2">
        <v>0.09</v>
      </c>
      <c r="H5" s="4">
        <f>G5*F5</f>
        <v>303.75</v>
      </c>
    </row>
    <row r="6" spans="1:8" x14ac:dyDescent="0.2">
      <c r="A6" s="19" t="s">
        <v>8</v>
      </c>
      <c r="B6" s="20">
        <v>25</v>
      </c>
      <c r="D6" s="3" t="s">
        <v>90</v>
      </c>
      <c r="E6" s="2">
        <v>0</v>
      </c>
      <c r="F6" s="4">
        <f>$B$15*E6/1000</f>
        <v>0</v>
      </c>
      <c r="G6" s="2">
        <v>0.45</v>
      </c>
      <c r="H6" s="4">
        <f>G6*F6</f>
        <v>0</v>
      </c>
    </row>
    <row r="7" spans="1:8" x14ac:dyDescent="0.2">
      <c r="A7" s="3" t="s">
        <v>79</v>
      </c>
      <c r="B7" s="7">
        <f>B8/B10</f>
        <v>0.625</v>
      </c>
      <c r="E7" s="2" t="s">
        <v>66</v>
      </c>
    </row>
    <row r="8" spans="1:8" x14ac:dyDescent="0.2">
      <c r="A8" s="3" t="s">
        <v>213</v>
      </c>
      <c r="B8" s="2">
        <f>Assumptions!B2</f>
        <v>75</v>
      </c>
      <c r="D8" s="3" t="s">
        <v>73</v>
      </c>
      <c r="E8" s="2">
        <v>800</v>
      </c>
      <c r="F8" s="4">
        <f>$B$15*E8/1000000</f>
        <v>180</v>
      </c>
      <c r="G8" s="7">
        <v>1</v>
      </c>
      <c r="H8" s="2">
        <f>G8*F8</f>
        <v>180</v>
      </c>
    </row>
    <row r="9" spans="1:8" x14ac:dyDescent="0.2">
      <c r="A9" s="3" t="s">
        <v>93</v>
      </c>
      <c r="B9" s="2">
        <f>B5*B8/1000</f>
        <v>33750</v>
      </c>
      <c r="D9" s="3" t="s">
        <v>32</v>
      </c>
      <c r="E9" s="2">
        <v>28</v>
      </c>
      <c r="F9" s="6">
        <f t="shared" ref="F9:F22" si="0">$B$15*E9/1000000</f>
        <v>6.3</v>
      </c>
      <c r="G9" s="7">
        <v>0.3</v>
      </c>
      <c r="H9" s="2">
        <f t="shared" ref="H9:H21" si="1">G9*F9</f>
        <v>1.89</v>
      </c>
    </row>
    <row r="10" spans="1:8" x14ac:dyDescent="0.2">
      <c r="A10" s="19" t="s">
        <v>0</v>
      </c>
      <c r="B10" s="20">
        <v>120</v>
      </c>
      <c r="D10" s="3" t="s">
        <v>33</v>
      </c>
      <c r="E10" s="2">
        <v>57.5</v>
      </c>
      <c r="F10" s="6">
        <f t="shared" si="0"/>
        <v>12.9375</v>
      </c>
      <c r="G10" s="2">
        <v>0.45</v>
      </c>
      <c r="H10" s="2">
        <f t="shared" si="1"/>
        <v>5.8218750000000004</v>
      </c>
    </row>
    <row r="11" spans="1:8" x14ac:dyDescent="0.2">
      <c r="A11" s="19" t="s">
        <v>24</v>
      </c>
      <c r="B11" s="20">
        <v>12</v>
      </c>
      <c r="D11" s="3" t="s">
        <v>34</v>
      </c>
      <c r="E11" s="2">
        <v>29</v>
      </c>
      <c r="F11" s="6">
        <f t="shared" si="0"/>
        <v>6.5250000000000004</v>
      </c>
      <c r="G11" s="2">
        <v>0.14000000000000001</v>
      </c>
      <c r="H11" s="2">
        <f t="shared" si="1"/>
        <v>0.91350000000000009</v>
      </c>
    </row>
    <row r="12" spans="1:8" x14ac:dyDescent="0.2">
      <c r="A12" s="3" t="s">
        <v>25</v>
      </c>
      <c r="B12" s="2">
        <f>B10+B11</f>
        <v>132</v>
      </c>
      <c r="D12" s="3" t="s">
        <v>67</v>
      </c>
      <c r="E12" s="2">
        <v>3.2</v>
      </c>
      <c r="F12" s="6">
        <f t="shared" si="0"/>
        <v>0.72</v>
      </c>
      <c r="G12" s="7">
        <v>2.6</v>
      </c>
      <c r="H12" s="2">
        <f t="shared" si="1"/>
        <v>1.8719999999999999</v>
      </c>
    </row>
    <row r="13" spans="1:8" x14ac:dyDescent="0.2">
      <c r="A13" s="3" t="s">
        <v>78</v>
      </c>
      <c r="B13" s="6">
        <f>B4/B12</f>
        <v>63.636363636363633</v>
      </c>
      <c r="D13" s="3" t="s">
        <v>35</v>
      </c>
      <c r="E13" s="2">
        <v>4.8</v>
      </c>
      <c r="F13" s="6">
        <f t="shared" si="0"/>
        <v>1.08</v>
      </c>
      <c r="G13" s="7">
        <v>12</v>
      </c>
      <c r="H13" s="2">
        <f t="shared" si="1"/>
        <v>12.96</v>
      </c>
    </row>
    <row r="14" spans="1:8" x14ac:dyDescent="0.2">
      <c r="A14" s="3" t="s">
        <v>9</v>
      </c>
      <c r="B14" s="7">
        <v>2</v>
      </c>
      <c r="D14" s="3" t="s">
        <v>36</v>
      </c>
      <c r="E14" s="2">
        <v>4.7</v>
      </c>
      <c r="F14" s="6">
        <f t="shared" si="0"/>
        <v>1.0575000000000001</v>
      </c>
      <c r="G14" s="7">
        <v>9</v>
      </c>
      <c r="H14" s="2">
        <f t="shared" si="1"/>
        <v>9.5175000000000018</v>
      </c>
    </row>
    <row r="15" spans="1:8" x14ac:dyDescent="0.2">
      <c r="A15" s="3" t="s">
        <v>91</v>
      </c>
      <c r="B15" s="4">
        <f>B5/B14</f>
        <v>225000</v>
      </c>
      <c r="D15" s="3" t="s">
        <v>37</v>
      </c>
      <c r="E15" s="2">
        <v>3.2</v>
      </c>
      <c r="F15" s="6">
        <f t="shared" si="0"/>
        <v>0.72</v>
      </c>
      <c r="G15" s="7">
        <v>1.5</v>
      </c>
      <c r="H15" s="2">
        <f t="shared" si="1"/>
        <v>1.08</v>
      </c>
    </row>
    <row r="16" spans="1:8" x14ac:dyDescent="0.2">
      <c r="A16" s="19" t="s">
        <v>46</v>
      </c>
      <c r="B16" s="20">
        <v>170</v>
      </c>
      <c r="D16" s="3" t="s">
        <v>38</v>
      </c>
      <c r="E16" s="2">
        <v>0.6</v>
      </c>
      <c r="F16" s="6">
        <f t="shared" si="0"/>
        <v>0.13500000000000001</v>
      </c>
      <c r="G16" s="7">
        <v>0.5</v>
      </c>
      <c r="H16" s="2">
        <f t="shared" si="1"/>
        <v>6.7500000000000004E-2</v>
      </c>
    </row>
    <row r="17" spans="1:8" x14ac:dyDescent="0.2">
      <c r="A17" s="3" t="s">
        <v>10</v>
      </c>
      <c r="B17" s="2">
        <f>B3*90%</f>
        <v>180000</v>
      </c>
      <c r="D17" s="3" t="s">
        <v>68</v>
      </c>
      <c r="E17" s="2">
        <v>12</v>
      </c>
      <c r="F17" s="6">
        <f t="shared" si="0"/>
        <v>2.7</v>
      </c>
      <c r="G17" s="7">
        <v>20</v>
      </c>
      <c r="H17" s="2">
        <f t="shared" si="1"/>
        <v>54</v>
      </c>
    </row>
    <row r="18" spans="1:8" x14ac:dyDescent="0.2">
      <c r="A18" s="19" t="s">
        <v>15</v>
      </c>
      <c r="B18" s="20">
        <v>3</v>
      </c>
      <c r="D18" s="3" t="s">
        <v>69</v>
      </c>
      <c r="E18" s="2">
        <v>12</v>
      </c>
      <c r="F18" s="6">
        <f t="shared" si="0"/>
        <v>2.7</v>
      </c>
      <c r="G18" s="7">
        <v>15</v>
      </c>
      <c r="H18" s="2">
        <f t="shared" si="1"/>
        <v>40.5</v>
      </c>
    </row>
    <row r="19" spans="1:8" x14ac:dyDescent="0.2">
      <c r="A19" s="3" t="s">
        <v>16</v>
      </c>
      <c r="B19" s="7">
        <f>POWER((B17/1000*4/B18/3.14159), 0.3333)</f>
        <v>4.2425256485211955</v>
      </c>
      <c r="D19" s="3" t="s">
        <v>70</v>
      </c>
      <c r="E19" s="2">
        <v>30</v>
      </c>
      <c r="F19" s="6">
        <f t="shared" si="0"/>
        <v>6.75</v>
      </c>
      <c r="G19" s="7">
        <v>9</v>
      </c>
      <c r="H19" s="2">
        <f t="shared" si="1"/>
        <v>60.75</v>
      </c>
    </row>
    <row r="20" spans="1:8" x14ac:dyDescent="0.2">
      <c r="A20" s="3" t="s">
        <v>11</v>
      </c>
      <c r="B20" s="7">
        <f>B18*B19</f>
        <v>12.727576945563587</v>
      </c>
      <c r="D20" s="3" t="s">
        <v>71</v>
      </c>
      <c r="E20" s="2">
        <v>12</v>
      </c>
      <c r="F20" s="6">
        <f t="shared" si="0"/>
        <v>2.7</v>
      </c>
      <c r="G20" s="7">
        <v>35</v>
      </c>
      <c r="H20" s="2">
        <f t="shared" si="1"/>
        <v>94.5</v>
      </c>
    </row>
    <row r="21" spans="1:8" x14ac:dyDescent="0.2">
      <c r="A21" s="3" t="s">
        <v>12</v>
      </c>
      <c r="B21" s="7">
        <f>B20*0.1</f>
        <v>1.2727576945563588</v>
      </c>
      <c r="D21" s="3" t="s">
        <v>72</v>
      </c>
      <c r="E21" s="2">
        <v>12</v>
      </c>
      <c r="F21" s="6">
        <f t="shared" si="0"/>
        <v>2.7</v>
      </c>
      <c r="G21" s="7">
        <v>20</v>
      </c>
      <c r="H21" s="2">
        <f t="shared" si="1"/>
        <v>54</v>
      </c>
    </row>
    <row r="22" spans="1:8" x14ac:dyDescent="0.2">
      <c r="A22" s="3" t="s">
        <v>19</v>
      </c>
      <c r="B22" s="7">
        <f>B21+1</f>
        <v>2.2727576945563586</v>
      </c>
      <c r="D22" s="3" t="s">
        <v>89</v>
      </c>
      <c r="E22" s="2">
        <v>0</v>
      </c>
      <c r="F22" s="2">
        <f t="shared" si="0"/>
        <v>0</v>
      </c>
    </row>
    <row r="24" spans="1:8" x14ac:dyDescent="0.2">
      <c r="A24" s="1" t="s">
        <v>50</v>
      </c>
      <c r="F24" s="4">
        <f>SUM(F3:F22)</f>
        <v>6752.0249999999996</v>
      </c>
      <c r="G24" s="2" t="s">
        <v>88</v>
      </c>
      <c r="H24" s="4">
        <f>SUM(H3:H22)</f>
        <v>2846.6223749999999</v>
      </c>
    </row>
    <row r="25" spans="1:8" x14ac:dyDescent="0.2">
      <c r="A25" s="19" t="s">
        <v>13</v>
      </c>
      <c r="B25" s="21">
        <v>2</v>
      </c>
    </row>
    <row r="26" spans="1:8" x14ac:dyDescent="0.2">
      <c r="A26" s="3" t="s">
        <v>14</v>
      </c>
      <c r="B26" s="4">
        <f>B15*B25</f>
        <v>450000</v>
      </c>
    </row>
    <row r="27" spans="1:8" x14ac:dyDescent="0.2">
      <c r="A27" s="3" t="s">
        <v>26</v>
      </c>
      <c r="B27" s="4">
        <f>B26/1000*B22</f>
        <v>1022.7409625503614</v>
      </c>
    </row>
    <row r="29" spans="1:8" x14ac:dyDescent="0.2">
      <c r="A29" s="1" t="s">
        <v>47</v>
      </c>
      <c r="B29" s="4"/>
    </row>
    <row r="30" spans="1:8" x14ac:dyDescent="0.2">
      <c r="A30" s="19" t="s">
        <v>18</v>
      </c>
      <c r="B30" s="20">
        <v>0.75</v>
      </c>
      <c r="D30" s="1" t="s">
        <v>2</v>
      </c>
    </row>
    <row r="31" spans="1:8" x14ac:dyDescent="0.2">
      <c r="A31" s="3" t="s">
        <v>17</v>
      </c>
      <c r="B31" s="2">
        <f>B17*B30/1000</f>
        <v>135</v>
      </c>
      <c r="D31" s="3" t="s">
        <v>30</v>
      </c>
      <c r="E31" s="4">
        <f>B27*B10</f>
        <v>122728.91550604337</v>
      </c>
    </row>
    <row r="32" spans="1:8" x14ac:dyDescent="0.2">
      <c r="D32" s="3" t="s">
        <v>31</v>
      </c>
      <c r="E32" s="2">
        <f>B31*B10</f>
        <v>16200</v>
      </c>
    </row>
    <row r="33" spans="1:6" x14ac:dyDescent="0.2">
      <c r="A33" s="1" t="s">
        <v>49</v>
      </c>
      <c r="D33" s="9" t="s">
        <v>1</v>
      </c>
      <c r="E33" s="4">
        <f>SUM(E31+E32)</f>
        <v>138928.91550604335</v>
      </c>
      <c r="F33" s="8" t="s">
        <v>63</v>
      </c>
    </row>
    <row r="34" spans="1:6" x14ac:dyDescent="0.2">
      <c r="A34" s="19" t="s">
        <v>20</v>
      </c>
      <c r="B34" s="20">
        <v>120</v>
      </c>
      <c r="D34" s="9"/>
      <c r="E34" s="4"/>
    </row>
    <row r="35" spans="1:6" x14ac:dyDescent="0.2">
      <c r="A35" s="3" t="s">
        <v>21</v>
      </c>
      <c r="B35" s="2">
        <v>0.52</v>
      </c>
    </row>
    <row r="36" spans="1:6" x14ac:dyDescent="0.2">
      <c r="A36" s="3" t="s">
        <v>22</v>
      </c>
      <c r="B36" s="2">
        <f>B34*B35</f>
        <v>62.400000000000006</v>
      </c>
    </row>
    <row r="37" spans="1:6" x14ac:dyDescent="0.2">
      <c r="A37" s="3" t="s">
        <v>23</v>
      </c>
      <c r="B37" s="4">
        <f>B36*B5*0.000278</f>
        <v>7806.2400000000007</v>
      </c>
      <c r="D37" s="1" t="s">
        <v>215</v>
      </c>
    </row>
    <row r="38" spans="1:6" x14ac:dyDescent="0.2">
      <c r="D38" s="3" t="s">
        <v>216</v>
      </c>
      <c r="E38" s="4">
        <f>E31*3413/16000</f>
        <v>26179.611788882878</v>
      </c>
    </row>
    <row r="39" spans="1:6" x14ac:dyDescent="0.2">
      <c r="A39" s="1" t="s">
        <v>48</v>
      </c>
      <c r="D39" s="3" t="s">
        <v>217</v>
      </c>
      <c r="E39" s="4">
        <f>E32*3413/16000</f>
        <v>3455.6624999999999</v>
      </c>
    </row>
    <row r="40" spans="1:6" x14ac:dyDescent="0.2">
      <c r="A40" s="3" t="s">
        <v>80</v>
      </c>
      <c r="B40" s="2">
        <f>Assumptions!B3</f>
        <v>30</v>
      </c>
      <c r="D40" s="3" t="s">
        <v>51</v>
      </c>
      <c r="E40" s="4">
        <f>B37*B10*3413/16000</f>
        <v>199820.22839999999</v>
      </c>
    </row>
    <row r="41" spans="1:6" x14ac:dyDescent="0.2">
      <c r="A41" s="3" t="s">
        <v>27</v>
      </c>
      <c r="B41" s="4">
        <f>B9/B40*100</f>
        <v>112500</v>
      </c>
      <c r="D41" s="3" t="s">
        <v>218</v>
      </c>
      <c r="E41" s="4">
        <f>B53*2204000/16000</f>
        <v>5624.4375000000009</v>
      </c>
    </row>
    <row r="42" spans="1:6" x14ac:dyDescent="0.2">
      <c r="A42" s="3" t="s">
        <v>42</v>
      </c>
      <c r="B42" s="4">
        <f>F6</f>
        <v>0</v>
      </c>
      <c r="D42" s="9" t="s">
        <v>1</v>
      </c>
      <c r="E42" s="4">
        <f>SUM(E38:E41)</f>
        <v>235079.94018888287</v>
      </c>
      <c r="F42" s="8" t="s">
        <v>63</v>
      </c>
    </row>
    <row r="43" spans="1:6" x14ac:dyDescent="0.2">
      <c r="A43" s="3" t="s">
        <v>43</v>
      </c>
      <c r="B43" s="4">
        <f>B41-B42</f>
        <v>112500</v>
      </c>
    </row>
    <row r="45" spans="1:6" x14ac:dyDescent="0.2">
      <c r="A45" s="1" t="s">
        <v>52</v>
      </c>
    </row>
    <row r="46" spans="1:6" x14ac:dyDescent="0.2">
      <c r="A46" s="19" t="s">
        <v>53</v>
      </c>
      <c r="B46" s="20">
        <v>0.06</v>
      </c>
      <c r="D46" s="1" t="s">
        <v>74</v>
      </c>
    </row>
    <row r="47" spans="1:6" x14ac:dyDescent="0.2">
      <c r="A47" s="3" t="s">
        <v>54</v>
      </c>
      <c r="B47" s="4">
        <f>B46*B41</f>
        <v>6750</v>
      </c>
      <c r="D47" s="3" t="s">
        <v>75</v>
      </c>
      <c r="E47" s="2">
        <v>14</v>
      </c>
    </row>
    <row r="48" spans="1:6" x14ac:dyDescent="0.2">
      <c r="D48" s="3" t="s">
        <v>76</v>
      </c>
      <c r="E48" s="2">
        <f>2080*E47</f>
        <v>29120</v>
      </c>
    </row>
    <row r="49" spans="1:6" x14ac:dyDescent="0.2">
      <c r="A49" s="1" t="s">
        <v>55</v>
      </c>
      <c r="D49" s="3" t="s">
        <v>81</v>
      </c>
      <c r="E49" s="4">
        <f>E48/B13</f>
        <v>457.6</v>
      </c>
      <c r="F49" s="2" t="s">
        <v>63</v>
      </c>
    </row>
    <row r="50" spans="1:6" x14ac:dyDescent="0.2">
      <c r="A50" s="19" t="s">
        <v>57</v>
      </c>
      <c r="B50" s="20">
        <v>20</v>
      </c>
    </row>
    <row r="51" spans="1:6" x14ac:dyDescent="0.2">
      <c r="A51" s="19" t="s">
        <v>58</v>
      </c>
      <c r="B51" s="20">
        <v>121</v>
      </c>
    </row>
    <row r="52" spans="1:6" x14ac:dyDescent="0.2">
      <c r="A52" s="3" t="s">
        <v>59</v>
      </c>
      <c r="B52" s="4">
        <f>B15</f>
        <v>225000</v>
      </c>
    </row>
    <row r="53" spans="1:6" x14ac:dyDescent="0.2">
      <c r="A53" s="3" t="s">
        <v>4</v>
      </c>
      <c r="B53" s="7">
        <f>(B51-B50)*2.2*1.8*B52/2204000</f>
        <v>40.830762250453731</v>
      </c>
      <c r="C53" s="3" t="s">
        <v>63</v>
      </c>
    </row>
    <row r="54" spans="1:6" x14ac:dyDescent="0.2">
      <c r="D54" s="1" t="s">
        <v>77</v>
      </c>
    </row>
    <row r="55" spans="1:6" x14ac:dyDescent="0.2">
      <c r="A55" s="1" t="s">
        <v>60</v>
      </c>
      <c r="D55" s="3" t="s">
        <v>84</v>
      </c>
      <c r="E55" s="2">
        <v>15</v>
      </c>
    </row>
    <row r="56" spans="1:6" x14ac:dyDescent="0.2">
      <c r="A56" s="3" t="s">
        <v>61</v>
      </c>
      <c r="B56" s="6">
        <f>B10/24</f>
        <v>5</v>
      </c>
      <c r="D56" s="3" t="s">
        <v>85</v>
      </c>
      <c r="E56" s="2">
        <f>1/(E55*B13)</f>
        <v>1.0476190476190477E-3</v>
      </c>
      <c r="F56" s="2" t="s">
        <v>63</v>
      </c>
    </row>
    <row r="57" spans="1:6" x14ac:dyDescent="0.2">
      <c r="A57" s="3" t="s">
        <v>214</v>
      </c>
      <c r="B57" s="2">
        <f>B56*B3</f>
        <v>1000000</v>
      </c>
    </row>
  </sheetData>
  <phoneticPr fontId="6" type="noConversion"/>
  <pageMargins left="0.75" right="0.75" top="1" bottom="1" header="0.5" footer="0.5"/>
  <pageSetup scale="73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A3" sqref="A3"/>
    </sheetView>
  </sheetViews>
  <sheetFormatPr baseColWidth="10" defaultRowHeight="16" x14ac:dyDescent="0.2"/>
  <cols>
    <col min="1" max="1" width="41.6640625" customWidth="1"/>
    <col min="3" max="3" width="11.5" customWidth="1"/>
    <col min="5" max="5" width="14" customWidth="1"/>
    <col min="6" max="6" width="22.1640625" customWidth="1"/>
    <col min="12" max="12" width="13.33203125" customWidth="1"/>
  </cols>
  <sheetData>
    <row r="1" spans="1:10" x14ac:dyDescent="0.2">
      <c r="A1" s="18" t="s">
        <v>201</v>
      </c>
      <c r="B1" s="43">
        <f>Fermentation!B5</f>
        <v>450000</v>
      </c>
      <c r="C1" s="10"/>
    </row>
    <row r="3" spans="1:10" x14ac:dyDescent="0.2">
      <c r="A3" s="18" t="s">
        <v>291</v>
      </c>
    </row>
    <row r="4" spans="1:10" x14ac:dyDescent="0.2">
      <c r="A4" s="10"/>
      <c r="B4" s="15" t="s">
        <v>83</v>
      </c>
      <c r="C4" s="15" t="s">
        <v>3</v>
      </c>
      <c r="D4" s="15" t="s">
        <v>5</v>
      </c>
      <c r="E4" s="15" t="s">
        <v>44</v>
      </c>
      <c r="F4" s="67" t="s">
        <v>253</v>
      </c>
    </row>
    <row r="5" spans="1:10" x14ac:dyDescent="0.2">
      <c r="B5" s="15"/>
      <c r="C5" s="15"/>
      <c r="D5" s="15"/>
      <c r="E5" s="15"/>
      <c r="F5" s="66"/>
    </row>
    <row r="6" spans="1:10" x14ac:dyDescent="0.2">
      <c r="A6" s="10" t="s">
        <v>252</v>
      </c>
      <c r="B6" s="11">
        <f>Fermentation!B57</f>
        <v>1000000</v>
      </c>
      <c r="C6" s="35">
        <f>Assumptions!B7</f>
        <v>0.05</v>
      </c>
      <c r="D6" s="13">
        <f>B6*C6</f>
        <v>50000</v>
      </c>
      <c r="E6" s="22">
        <f>D6/$B$1</f>
        <v>0.1111111111111111</v>
      </c>
      <c r="F6" s="30">
        <f>D6*1000/Fermentation!$B$9</f>
        <v>1481.4814814814815</v>
      </c>
    </row>
    <row r="7" spans="1:10" x14ac:dyDescent="0.2">
      <c r="A7" s="10"/>
      <c r="B7" s="11"/>
      <c r="C7" s="11"/>
      <c r="D7" s="13"/>
      <c r="E7" s="24"/>
    </row>
    <row r="8" spans="1:10" x14ac:dyDescent="0.2">
      <c r="A8" s="10" t="s">
        <v>92</v>
      </c>
      <c r="B8" s="13">
        <f>Fermentation!F24</f>
        <v>6752.0249999999996</v>
      </c>
      <c r="C8" s="12">
        <v>0.32</v>
      </c>
      <c r="D8" s="13">
        <f>Fermentation!H24</f>
        <v>2846.6223749999999</v>
      </c>
      <c r="E8" s="22">
        <f>D8/$B$1</f>
        <v>6.3258274999999997E-3</v>
      </c>
      <c r="F8" s="30">
        <f>D8*1000/Fermentation!$B$9</f>
        <v>84.344366666666673</v>
      </c>
    </row>
    <row r="9" spans="1:10" x14ac:dyDescent="0.2">
      <c r="A9" s="10"/>
      <c r="B9" s="11"/>
      <c r="C9" s="11"/>
      <c r="D9" s="13"/>
      <c r="E9" s="24"/>
    </row>
    <row r="10" spans="1:10" x14ac:dyDescent="0.2">
      <c r="A10" s="10" t="s">
        <v>56</v>
      </c>
      <c r="B10" s="13">
        <f>Fermentation!B43</f>
        <v>112500</v>
      </c>
      <c r="C10" s="12">
        <v>0.32</v>
      </c>
      <c r="D10" s="13">
        <f>B10*C10</f>
        <v>36000</v>
      </c>
      <c r="E10" s="22">
        <f>D10/$B$1</f>
        <v>0.08</v>
      </c>
      <c r="F10" s="30">
        <f>D10*1000/Fermentation!$B$9</f>
        <v>1066.6666666666667</v>
      </c>
    </row>
    <row r="11" spans="1:10" x14ac:dyDescent="0.2">
      <c r="A11" s="10"/>
      <c r="B11" s="11"/>
      <c r="C11" s="11"/>
      <c r="D11" s="13"/>
      <c r="E11" s="24"/>
    </row>
    <row r="12" spans="1:10" x14ac:dyDescent="0.2">
      <c r="A12" s="10" t="s">
        <v>54</v>
      </c>
      <c r="B12" s="13">
        <f>Fermentation!B47</f>
        <v>6750</v>
      </c>
      <c r="C12" s="12">
        <v>1</v>
      </c>
      <c r="D12" s="13">
        <f>B12*C12</f>
        <v>6750</v>
      </c>
      <c r="E12" s="22">
        <f>D12/$B$1</f>
        <v>1.4999999999999999E-2</v>
      </c>
      <c r="F12" s="30">
        <f>D12*1000/Fermentation!$B$9</f>
        <v>200</v>
      </c>
    </row>
    <row r="13" spans="1:10" x14ac:dyDescent="0.2">
      <c r="A13" s="10"/>
      <c r="B13" s="11"/>
      <c r="C13" s="11"/>
      <c r="D13" s="13"/>
      <c r="E13" s="10"/>
    </row>
    <row r="14" spans="1:10" x14ac:dyDescent="0.2">
      <c r="A14" s="14" t="s">
        <v>1</v>
      </c>
      <c r="B14" s="11"/>
      <c r="C14" s="11"/>
      <c r="D14" s="16">
        <f>SUM(D6:D12)</f>
        <v>95596.622375000006</v>
      </c>
      <c r="E14" s="26">
        <f>SUM(E6:E12)</f>
        <v>0.21243693861111113</v>
      </c>
      <c r="F14" s="17">
        <f>D14*1000/Fermentation!$B$9</f>
        <v>2832.492514814815</v>
      </c>
    </row>
    <row r="16" spans="1:10" x14ac:dyDescent="0.2">
      <c r="J16" s="25"/>
    </row>
    <row r="18" spans="1:6" x14ac:dyDescent="0.2">
      <c r="A18" s="18" t="s">
        <v>292</v>
      </c>
    </row>
    <row r="19" spans="1:6" x14ac:dyDescent="0.2">
      <c r="A19" s="10"/>
      <c r="B19" s="15" t="s">
        <v>83</v>
      </c>
      <c r="C19" s="15" t="s">
        <v>3</v>
      </c>
      <c r="D19" s="15" t="s">
        <v>5</v>
      </c>
      <c r="E19" s="15" t="s">
        <v>44</v>
      </c>
      <c r="F19" s="67" t="s">
        <v>253</v>
      </c>
    </row>
    <row r="20" spans="1:6" x14ac:dyDescent="0.2">
      <c r="A20" s="10"/>
      <c r="B20" s="15"/>
      <c r="C20" s="15"/>
      <c r="D20" s="15"/>
      <c r="E20" s="15"/>
    </row>
    <row r="21" spans="1:6" x14ac:dyDescent="0.2">
      <c r="A21" s="10" t="s">
        <v>62</v>
      </c>
      <c r="B21" s="11">
        <f>Fermentation!B73</f>
        <v>0</v>
      </c>
      <c r="C21" s="23">
        <f>Fermentation!B71</f>
        <v>0</v>
      </c>
      <c r="D21" s="13">
        <f>B21*C21</f>
        <v>0</v>
      </c>
      <c r="E21" s="22">
        <f>D21/Fermentation!$B$5</f>
        <v>0</v>
      </c>
      <c r="F21" s="33">
        <f>D21*1000/Fermentation!$B$9</f>
        <v>0</v>
      </c>
    </row>
    <row r="22" spans="1:6" x14ac:dyDescent="0.2">
      <c r="A22" s="10"/>
      <c r="B22" s="11"/>
      <c r="C22" s="11"/>
      <c r="D22" s="13"/>
      <c r="E22" s="24"/>
      <c r="F22" s="32"/>
    </row>
    <row r="23" spans="1:6" x14ac:dyDescent="0.2">
      <c r="A23" s="10" t="s">
        <v>92</v>
      </c>
      <c r="B23" s="13">
        <f>Fermentation!F24</f>
        <v>6752.0249999999996</v>
      </c>
      <c r="C23" s="22">
        <f>D23/B23</f>
        <v>0.42159535472691528</v>
      </c>
      <c r="D23" s="13">
        <f>Fermentation!H24</f>
        <v>2846.6223749999999</v>
      </c>
      <c r="E23" s="22">
        <f>D23/Fermentation!$B$5</f>
        <v>6.3258274999999997E-3</v>
      </c>
      <c r="F23" s="33">
        <f>D23*1000/Fermentation!$B$9</f>
        <v>84.344366666666673</v>
      </c>
    </row>
    <row r="24" spans="1:6" x14ac:dyDescent="0.2">
      <c r="A24" s="10"/>
      <c r="B24" s="11"/>
      <c r="C24" s="11"/>
      <c r="D24" s="13"/>
      <c r="E24" s="24"/>
      <c r="F24" s="32"/>
    </row>
    <row r="25" spans="1:6" x14ac:dyDescent="0.2">
      <c r="A25" s="10" t="s">
        <v>56</v>
      </c>
      <c r="B25" s="13">
        <f>B10</f>
        <v>112500</v>
      </c>
      <c r="C25" s="12">
        <v>0.32</v>
      </c>
      <c r="D25" s="13">
        <f>B25*C25</f>
        <v>36000</v>
      </c>
      <c r="E25" s="22">
        <f>D25/Fermentation!$B$5</f>
        <v>0.08</v>
      </c>
      <c r="F25" s="33">
        <f>D25*1000/Fermentation!$B$9</f>
        <v>1066.6666666666667</v>
      </c>
    </row>
    <row r="26" spans="1:6" x14ac:dyDescent="0.2">
      <c r="A26" s="10"/>
      <c r="B26" s="11"/>
      <c r="C26" s="11"/>
      <c r="D26" s="13"/>
      <c r="E26" s="24"/>
      <c r="F26" s="32"/>
    </row>
    <row r="27" spans="1:6" x14ac:dyDescent="0.2">
      <c r="A27" s="10" t="s">
        <v>54</v>
      </c>
      <c r="B27" s="13">
        <f>B12</f>
        <v>6750</v>
      </c>
      <c r="C27" s="12">
        <v>1</v>
      </c>
      <c r="D27" s="13">
        <f>B27*C27</f>
        <v>6750</v>
      </c>
      <c r="E27" s="22">
        <f>D27/Fermentation!$B$5</f>
        <v>1.4999999999999999E-2</v>
      </c>
      <c r="F27" s="33">
        <f>D27*1000/Fermentation!$B$9</f>
        <v>200</v>
      </c>
    </row>
    <row r="28" spans="1:6" x14ac:dyDescent="0.2">
      <c r="A28" s="10"/>
      <c r="B28" s="13"/>
      <c r="C28" s="12"/>
      <c r="D28" s="13"/>
      <c r="E28" s="22"/>
      <c r="F28" s="32"/>
    </row>
    <row r="29" spans="1:6" x14ac:dyDescent="0.2">
      <c r="A29" s="10" t="s">
        <v>82</v>
      </c>
      <c r="B29" s="13">
        <f>Fermentation!E33</f>
        <v>138928.91550604335</v>
      </c>
      <c r="C29" s="12">
        <v>0.08</v>
      </c>
      <c r="D29" s="13">
        <f>B29*C29</f>
        <v>11114.313240483469</v>
      </c>
      <c r="E29" s="22">
        <f>D29/Fermentation!$B$5</f>
        <v>2.4698473867741041E-2</v>
      </c>
      <c r="F29" s="33">
        <f>D29*1000/Fermentation!$B$9</f>
        <v>329.31298490321387</v>
      </c>
    </row>
    <row r="30" spans="1:6" x14ac:dyDescent="0.2">
      <c r="A30" s="10"/>
      <c r="B30" s="13"/>
      <c r="C30" s="12"/>
      <c r="D30" s="13"/>
      <c r="E30" s="22"/>
      <c r="F30" s="32"/>
    </row>
    <row r="31" spans="1:6" x14ac:dyDescent="0.2">
      <c r="A31" s="10" t="s">
        <v>6</v>
      </c>
      <c r="B31" s="13">
        <f>Fermentation!E42</f>
        <v>235079.94018888287</v>
      </c>
      <c r="C31" s="27">
        <v>0.08</v>
      </c>
      <c r="D31" s="13">
        <f>B31*C31</f>
        <v>18806.395215110631</v>
      </c>
      <c r="E31" s="22">
        <f>D31/Fermentation!$B$5</f>
        <v>4.1791989366912516E-2</v>
      </c>
      <c r="F31" s="33">
        <f>D31*1000/Fermentation!$B$9</f>
        <v>557.22652489216682</v>
      </c>
    </row>
    <row r="32" spans="1:6" x14ac:dyDescent="0.2">
      <c r="A32" s="10"/>
      <c r="B32" s="13"/>
      <c r="C32" s="12"/>
      <c r="D32" s="13"/>
      <c r="E32" s="22"/>
      <c r="F32" s="32"/>
    </row>
    <row r="33" spans="1:6" x14ac:dyDescent="0.2">
      <c r="A33" s="10" t="s">
        <v>4</v>
      </c>
      <c r="B33" s="28">
        <f>Fermentation!B53</f>
        <v>40.830762250453731</v>
      </c>
      <c r="C33" s="12">
        <v>20</v>
      </c>
      <c r="D33" s="13">
        <f>B33*C33</f>
        <v>816.61524500907467</v>
      </c>
      <c r="E33" s="22">
        <f>D33/Fermentation!$B$5</f>
        <v>1.8147005444646104E-3</v>
      </c>
      <c r="F33" s="33">
        <f>D33*1000/Fermentation!$B$9</f>
        <v>24.196007259528137</v>
      </c>
    </row>
    <row r="34" spans="1:6" x14ac:dyDescent="0.2">
      <c r="A34" s="10"/>
      <c r="B34" s="13"/>
      <c r="C34" s="12"/>
      <c r="D34" s="13"/>
      <c r="E34" s="22"/>
      <c r="F34" s="32"/>
    </row>
    <row r="35" spans="1:6" x14ac:dyDescent="0.2">
      <c r="A35" s="10" t="s">
        <v>227</v>
      </c>
      <c r="B35" s="13">
        <f>Fermentation!E49</f>
        <v>457.6</v>
      </c>
      <c r="C35" s="12">
        <v>30</v>
      </c>
      <c r="D35" s="13">
        <f>B35*C35</f>
        <v>13728</v>
      </c>
      <c r="E35" s="22">
        <f>D35/Fermentation!$B$5</f>
        <v>3.0506666666666668E-2</v>
      </c>
      <c r="F35" s="33">
        <f>D35*1000/Fermentation!$B$9</f>
        <v>406.75555555555553</v>
      </c>
    </row>
    <row r="36" spans="1:6" x14ac:dyDescent="0.2">
      <c r="A36" s="10"/>
      <c r="B36" s="13"/>
      <c r="C36" s="12"/>
      <c r="D36" s="13"/>
      <c r="E36" s="22"/>
      <c r="F36" s="32"/>
    </row>
    <row r="37" spans="1:6" x14ac:dyDescent="0.2">
      <c r="A37" s="10" t="s">
        <v>195</v>
      </c>
      <c r="B37" s="29">
        <f>Fermentation!E56</f>
        <v>1.0476190476190477E-3</v>
      </c>
      <c r="C37" s="12">
        <v>5000000</v>
      </c>
      <c r="D37" s="13">
        <f>B37*C37</f>
        <v>5238.0952380952385</v>
      </c>
      <c r="E37" s="22">
        <f>D37/Fermentation!$B$5</f>
        <v>1.1640211640211642E-2</v>
      </c>
      <c r="F37" s="33">
        <f>D37*1000/Fermentation!$B$9</f>
        <v>155.20282186948856</v>
      </c>
    </row>
    <row r="38" spans="1:6" x14ac:dyDescent="0.2">
      <c r="A38" s="10"/>
      <c r="B38" s="11"/>
      <c r="C38" s="11"/>
      <c r="D38" s="13"/>
      <c r="E38" s="10"/>
      <c r="F38" s="32"/>
    </row>
    <row r="39" spans="1:6" x14ac:dyDescent="0.2">
      <c r="A39" s="14" t="s">
        <v>86</v>
      </c>
      <c r="B39" s="11"/>
      <c r="C39" s="11"/>
      <c r="D39" s="13">
        <f>SUM(D21:D37)</f>
        <v>95300.041313698413</v>
      </c>
      <c r="E39" s="22">
        <f>SUM(E21:E37)</f>
        <v>0.21177786958599645</v>
      </c>
      <c r="F39" s="33">
        <f>D39*1000/Fermentation!$B$9</f>
        <v>2823.7049278132863</v>
      </c>
    </row>
    <row r="40" spans="1:6" x14ac:dyDescent="0.2">
      <c r="F40" s="32"/>
    </row>
    <row r="41" spans="1:6" x14ac:dyDescent="0.2">
      <c r="A41" s="31" t="s">
        <v>87</v>
      </c>
      <c r="B41" s="43">
        <v>30</v>
      </c>
      <c r="D41" s="30">
        <f>B41/100*D39</f>
        <v>28590.012394109523</v>
      </c>
      <c r="E41" s="22">
        <f>B41/100*E39</f>
        <v>6.353336087579893E-2</v>
      </c>
      <c r="F41" s="33">
        <f>D41*1000/Fermentation!$B$9</f>
        <v>847.11147834398582</v>
      </c>
    </row>
    <row r="42" spans="1:6" x14ac:dyDescent="0.2">
      <c r="F42" s="32"/>
    </row>
    <row r="43" spans="1:6" x14ac:dyDescent="0.2">
      <c r="A43" s="31" t="s">
        <v>1</v>
      </c>
      <c r="B43" s="18"/>
      <c r="C43" s="18"/>
      <c r="D43" s="17">
        <f>D39+D41</f>
        <v>123890.05370780794</v>
      </c>
      <c r="E43" s="34">
        <f>E39+E41</f>
        <v>0.2753112304617954</v>
      </c>
      <c r="F43" s="17">
        <f>D43*1000/Fermentation!$B$9</f>
        <v>3670.8164061572725</v>
      </c>
    </row>
  </sheetData>
  <phoneticPr fontId="6" type="noConversion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B2" sqref="B2"/>
    </sheetView>
  </sheetViews>
  <sheetFormatPr baseColWidth="10" defaultRowHeight="16" x14ac:dyDescent="0.2"/>
  <cols>
    <col min="1" max="1" width="36.83203125" customWidth="1"/>
    <col min="2" max="2" width="13.33203125" customWidth="1"/>
    <col min="4" max="4" width="27" style="3" customWidth="1"/>
    <col min="5" max="5" width="10.83203125" style="2"/>
    <col min="7" max="7" width="26.5" customWidth="1"/>
    <col min="8" max="8" width="17.33203125" customWidth="1"/>
  </cols>
  <sheetData>
    <row r="1" spans="1:8" x14ac:dyDescent="0.2">
      <c r="A1" s="48" t="s">
        <v>94</v>
      </c>
      <c r="B1" s="49"/>
      <c r="C1" s="37"/>
      <c r="D1" s="1" t="s">
        <v>194</v>
      </c>
      <c r="F1" s="37"/>
      <c r="G1" s="36" t="s">
        <v>95</v>
      </c>
      <c r="H1" s="38"/>
    </row>
    <row r="2" spans="1:8" x14ac:dyDescent="0.2">
      <c r="A2" s="50" t="s">
        <v>220</v>
      </c>
      <c r="B2" s="49">
        <f>Fermentation!B9</f>
        <v>33750</v>
      </c>
      <c r="C2" s="37"/>
      <c r="D2" s="3" t="s">
        <v>180</v>
      </c>
      <c r="E2" s="4">
        <f>B99</f>
        <v>32139.195433102486</v>
      </c>
      <c r="F2" s="37"/>
      <c r="G2" s="37"/>
      <c r="H2" s="38"/>
    </row>
    <row r="3" spans="1:8" x14ac:dyDescent="0.2">
      <c r="A3" s="50" t="s">
        <v>96</v>
      </c>
      <c r="B3" s="49">
        <v>8400</v>
      </c>
      <c r="C3" s="37"/>
      <c r="D3" s="3" t="s">
        <v>181</v>
      </c>
      <c r="E3" s="4">
        <f>B98</f>
        <v>421.070351385653</v>
      </c>
      <c r="F3" s="37"/>
      <c r="G3" s="37" t="s">
        <v>242</v>
      </c>
      <c r="H3" s="40">
        <f>B19</f>
        <v>75000</v>
      </c>
    </row>
    <row r="4" spans="1:8" x14ac:dyDescent="0.2">
      <c r="A4" s="50" t="s">
        <v>97</v>
      </c>
      <c r="B4" s="49">
        <v>81.2</v>
      </c>
      <c r="C4" s="37"/>
      <c r="D4" s="19" t="s">
        <v>179</v>
      </c>
      <c r="E4" s="20">
        <v>95</v>
      </c>
      <c r="F4" s="37"/>
      <c r="G4" s="37" t="s">
        <v>243</v>
      </c>
      <c r="H4" s="40">
        <f>H3/1000</f>
        <v>75</v>
      </c>
    </row>
    <row r="5" spans="1:8" x14ac:dyDescent="0.2">
      <c r="A5" s="50" t="s">
        <v>128</v>
      </c>
      <c r="B5" s="51">
        <f>B2*B4/100</f>
        <v>27405</v>
      </c>
      <c r="C5" s="37"/>
      <c r="D5" s="3" t="s">
        <v>112</v>
      </c>
      <c r="E5" s="52">
        <f>POWER(10,4.622-1030/(E4+273))</f>
        <v>66.540637371647676</v>
      </c>
      <c r="F5" s="37"/>
      <c r="G5" s="37"/>
      <c r="H5" s="39"/>
    </row>
    <row r="6" spans="1:8" x14ac:dyDescent="0.2">
      <c r="A6" s="50" t="s">
        <v>98</v>
      </c>
      <c r="B6" s="49">
        <f>Fermentation!B8</f>
        <v>75</v>
      </c>
      <c r="C6" s="37"/>
      <c r="D6" s="3" t="s">
        <v>182</v>
      </c>
      <c r="E6" s="4">
        <f>E2*(1000-E5)/E5</f>
        <v>450861.82022588921</v>
      </c>
      <c r="F6" s="37"/>
      <c r="G6" s="37"/>
      <c r="H6" s="38"/>
    </row>
    <row r="7" spans="1:8" x14ac:dyDescent="0.2">
      <c r="A7" s="61" t="s">
        <v>99</v>
      </c>
      <c r="B7" s="63">
        <v>1</v>
      </c>
      <c r="C7" s="37"/>
      <c r="D7" s="3" t="s">
        <v>183</v>
      </c>
      <c r="E7" s="4">
        <f>E2+E3+E6</f>
        <v>483422.08601037733</v>
      </c>
      <c r="F7" s="37"/>
      <c r="G7" s="37"/>
      <c r="H7" s="38"/>
    </row>
    <row r="8" spans="1:8" x14ac:dyDescent="0.2">
      <c r="A8" s="50" t="s">
        <v>100</v>
      </c>
      <c r="B8" s="52">
        <f>B6/(B6+B7)*100</f>
        <v>98.68421052631578</v>
      </c>
      <c r="C8" s="37"/>
      <c r="F8" s="37"/>
      <c r="G8" s="37"/>
      <c r="H8" s="38"/>
    </row>
    <row r="9" spans="1:8" x14ac:dyDescent="0.2">
      <c r="A9" s="61" t="s">
        <v>221</v>
      </c>
      <c r="B9" s="62">
        <f>Fermentation!B10</f>
        <v>120</v>
      </c>
      <c r="C9" s="37"/>
      <c r="D9" s="48" t="s">
        <v>184</v>
      </c>
      <c r="E9" s="48"/>
      <c r="F9" s="37"/>
      <c r="G9" s="37"/>
      <c r="H9" s="40"/>
    </row>
    <row r="10" spans="1:8" x14ac:dyDescent="0.2">
      <c r="A10" s="50" t="s">
        <v>129</v>
      </c>
      <c r="B10" s="52">
        <f>B7*B11/1000</f>
        <v>450</v>
      </c>
      <c r="C10" s="37"/>
      <c r="D10" s="61" t="s">
        <v>117</v>
      </c>
      <c r="E10" s="64">
        <v>10</v>
      </c>
      <c r="F10" s="37"/>
      <c r="G10" s="37"/>
      <c r="H10" s="40"/>
    </row>
    <row r="11" spans="1:8" x14ac:dyDescent="0.2">
      <c r="A11" s="50" t="s">
        <v>130</v>
      </c>
      <c r="B11" s="51">
        <f>Fermentation!B5</f>
        <v>450000</v>
      </c>
      <c r="C11" s="37"/>
      <c r="D11" s="50" t="s">
        <v>118</v>
      </c>
      <c r="E11" s="52">
        <f>POWER(10,4.622-1030/(E10+273))</f>
        <v>9.6033781047730979</v>
      </c>
      <c r="F11" s="37"/>
      <c r="G11" s="37"/>
      <c r="H11" s="40"/>
    </row>
    <row r="12" spans="1:8" x14ac:dyDescent="0.2">
      <c r="A12" s="50"/>
      <c r="B12" s="49"/>
      <c r="C12" s="37"/>
      <c r="D12" s="61" t="s">
        <v>119</v>
      </c>
      <c r="E12" s="64">
        <v>0.25</v>
      </c>
      <c r="F12" s="37"/>
      <c r="G12" s="37"/>
      <c r="H12" s="38"/>
    </row>
    <row r="13" spans="1:8" x14ac:dyDescent="0.2">
      <c r="A13" s="48" t="s">
        <v>101</v>
      </c>
      <c r="B13" s="49"/>
      <c r="C13" s="37"/>
      <c r="D13" s="50" t="s">
        <v>139</v>
      </c>
      <c r="E13" s="51">
        <f>(E11/1000*E7)/(1-E11/1000)</f>
        <v>4687.5009198556399</v>
      </c>
      <c r="F13" s="37"/>
      <c r="G13" s="37"/>
      <c r="H13" s="38"/>
    </row>
    <row r="14" spans="1:8" x14ac:dyDescent="0.2">
      <c r="A14" s="61" t="s">
        <v>164</v>
      </c>
      <c r="B14" s="64">
        <v>20</v>
      </c>
      <c r="C14" s="37"/>
      <c r="D14" s="50" t="s">
        <v>140</v>
      </c>
      <c r="E14" s="52">
        <f>(E12/1000*E7)/(1-E12/1000)</f>
        <v>120.8857429383289</v>
      </c>
      <c r="F14" s="37"/>
      <c r="G14" s="37"/>
      <c r="H14" s="38"/>
    </row>
    <row r="15" spans="1:8" x14ac:dyDescent="0.2">
      <c r="A15" s="50" t="s">
        <v>131</v>
      </c>
      <c r="B15" s="51">
        <f>B11</f>
        <v>450000</v>
      </c>
      <c r="C15" s="37"/>
      <c r="D15" s="50" t="s">
        <v>120</v>
      </c>
      <c r="E15" s="52">
        <f>+E13/(E13+E14)*100</f>
        <v>97.485939642214902</v>
      </c>
      <c r="F15" s="37"/>
      <c r="G15" s="36" t="s">
        <v>102</v>
      </c>
      <c r="H15" s="41" t="s">
        <v>143</v>
      </c>
    </row>
    <row r="16" spans="1:8" x14ac:dyDescent="0.2">
      <c r="A16" s="61" t="s">
        <v>103</v>
      </c>
      <c r="B16" s="64">
        <v>6</v>
      </c>
      <c r="C16" s="37"/>
      <c r="D16" s="50" t="s">
        <v>141</v>
      </c>
      <c r="E16" s="51">
        <f>E2-E13</f>
        <v>27451.694513246846</v>
      </c>
      <c r="F16" s="37"/>
      <c r="G16" s="37" t="s">
        <v>198</v>
      </c>
      <c r="H16" s="39">
        <f>B21*2.2*1.8*30/2204000</f>
        <v>10.10662431941924</v>
      </c>
    </row>
    <row r="17" spans="1:9" x14ac:dyDescent="0.2">
      <c r="A17" s="50" t="s">
        <v>132</v>
      </c>
      <c r="B17" s="51">
        <f>B15/B16</f>
        <v>75000</v>
      </c>
      <c r="C17" s="37"/>
      <c r="D17" s="50" t="s">
        <v>142</v>
      </c>
      <c r="E17" s="52">
        <f>E3-E14</f>
        <v>300.18460844732408</v>
      </c>
      <c r="F17" s="37"/>
      <c r="G17" s="37" t="s">
        <v>196</v>
      </c>
      <c r="H17" s="39">
        <f>B22*2.2*1.8*(B30-50)/2204000</f>
        <v>45.479809437386571</v>
      </c>
    </row>
    <row r="18" spans="1:9" x14ac:dyDescent="0.2">
      <c r="A18" s="50" t="s">
        <v>133</v>
      </c>
      <c r="B18" s="51">
        <f>B15-B17</f>
        <v>375000</v>
      </c>
      <c r="C18" s="37"/>
      <c r="D18" s="50" t="s">
        <v>121</v>
      </c>
      <c r="E18" s="52">
        <f>E16/(E16+E17)*100</f>
        <v>98.918326909932858</v>
      </c>
      <c r="F18" s="37"/>
      <c r="G18" s="37" t="s">
        <v>197</v>
      </c>
      <c r="H18" s="39">
        <f>B65*2.2*1.8*(B52-B394)/2204000</f>
        <v>80.63409313924916</v>
      </c>
    </row>
    <row r="19" spans="1:9" x14ac:dyDescent="0.2">
      <c r="A19" s="50" t="s">
        <v>134</v>
      </c>
      <c r="B19" s="51">
        <f>B17</f>
        <v>75000</v>
      </c>
      <c r="C19" s="37"/>
      <c r="D19" s="50" t="s">
        <v>145</v>
      </c>
      <c r="E19" s="51">
        <f>E7-E16-E17</f>
        <v>455670.2068886832</v>
      </c>
      <c r="F19" s="37"/>
      <c r="G19" s="37" t="s">
        <v>193</v>
      </c>
      <c r="H19" s="39">
        <f>E6*2.2*1.8*(E4-20)/2204000</f>
        <v>60.755880493234628</v>
      </c>
    </row>
    <row r="20" spans="1:9" x14ac:dyDescent="0.2">
      <c r="A20" s="61" t="s">
        <v>105</v>
      </c>
      <c r="B20" s="64">
        <v>2.5</v>
      </c>
      <c r="C20" s="37"/>
      <c r="D20" s="50"/>
      <c r="E20" s="49"/>
      <c r="F20" s="37"/>
      <c r="G20" s="55" t="s">
        <v>205</v>
      </c>
      <c r="H20" s="39">
        <f>B36*0.4/1000</f>
        <v>28.202967130284016</v>
      </c>
    </row>
    <row r="21" spans="1:9" x14ac:dyDescent="0.2">
      <c r="A21" s="50" t="s">
        <v>135</v>
      </c>
      <c r="B21" s="51">
        <f>B19*B20</f>
        <v>187500</v>
      </c>
      <c r="C21" s="37"/>
      <c r="D21" s="48" t="s">
        <v>188</v>
      </c>
      <c r="E21" s="48"/>
      <c r="F21" s="37"/>
      <c r="G21" s="37" t="s">
        <v>204</v>
      </c>
      <c r="H21" s="39">
        <f>B73*0.4/1000</f>
        <v>162.46293452567539</v>
      </c>
    </row>
    <row r="22" spans="1:9" x14ac:dyDescent="0.2">
      <c r="A22" s="50" t="s">
        <v>136</v>
      </c>
      <c r="B22" s="51">
        <f>B21+B18</f>
        <v>562500</v>
      </c>
      <c r="C22" s="37"/>
      <c r="D22" s="61" t="s">
        <v>122</v>
      </c>
      <c r="E22" s="62">
        <v>90</v>
      </c>
      <c r="F22" s="37"/>
      <c r="G22" s="3" t="s">
        <v>223</v>
      </c>
      <c r="H22" s="6">
        <f>E35*2/1000</f>
        <v>6.1670842492653781</v>
      </c>
    </row>
    <row r="23" spans="1:9" x14ac:dyDescent="0.2">
      <c r="A23" s="61" t="s">
        <v>106</v>
      </c>
      <c r="B23" s="64">
        <v>55</v>
      </c>
      <c r="C23" s="37"/>
      <c r="D23" s="50" t="s">
        <v>123</v>
      </c>
      <c r="E23" s="51">
        <f>100-E22</f>
        <v>10</v>
      </c>
      <c r="F23" s="37"/>
      <c r="G23" s="42" t="s">
        <v>1</v>
      </c>
      <c r="H23" s="39">
        <f>SUM(H16:H22)</f>
        <v>393.80939329451439</v>
      </c>
    </row>
    <row r="24" spans="1:9" x14ac:dyDescent="0.2">
      <c r="A24" s="50" t="s">
        <v>107</v>
      </c>
      <c r="B24" s="51">
        <f>B22/B14/B23</f>
        <v>511.36363636363637</v>
      </c>
      <c r="C24" s="37"/>
      <c r="D24" s="50" t="s">
        <v>146</v>
      </c>
      <c r="E24" s="51">
        <f>(E16+E17)*100/E22</f>
        <v>30835.42124632686</v>
      </c>
      <c r="F24" s="37"/>
    </row>
    <row r="25" spans="1:9" x14ac:dyDescent="0.2">
      <c r="A25" s="61" t="s">
        <v>108</v>
      </c>
      <c r="B25" s="63">
        <v>97</v>
      </c>
      <c r="C25" s="37"/>
      <c r="D25" s="61" t="s">
        <v>124</v>
      </c>
      <c r="E25" s="64">
        <v>0.3</v>
      </c>
      <c r="F25" s="37"/>
    </row>
    <row r="26" spans="1:9" x14ac:dyDescent="0.2">
      <c r="A26" s="50" t="s">
        <v>137</v>
      </c>
      <c r="B26" s="51">
        <f>B25*B2/100</f>
        <v>32737.5</v>
      </c>
      <c r="C26" s="37"/>
      <c r="D26" s="50" t="s">
        <v>147</v>
      </c>
      <c r="E26" s="51">
        <f>E24*E25</f>
        <v>9250.6263738980579</v>
      </c>
      <c r="F26" s="37"/>
    </row>
    <row r="27" spans="1:9" x14ac:dyDescent="0.2">
      <c r="A27" s="50" t="s">
        <v>110</v>
      </c>
      <c r="B27" s="53">
        <f>B26/B22*1000</f>
        <v>58.2</v>
      </c>
      <c r="C27" s="37"/>
      <c r="D27" s="50" t="s">
        <v>157</v>
      </c>
      <c r="E27" s="51">
        <f>E16</f>
        <v>27451.694513246846</v>
      </c>
      <c r="F27" s="37"/>
    </row>
    <row r="28" spans="1:9" x14ac:dyDescent="0.2">
      <c r="A28" s="50"/>
      <c r="B28" s="49"/>
      <c r="C28" s="37"/>
      <c r="D28" s="50" t="s">
        <v>142</v>
      </c>
      <c r="E28" s="52">
        <f>E17</f>
        <v>300.18460844732408</v>
      </c>
      <c r="F28" s="37"/>
    </row>
    <row r="29" spans="1:9" x14ac:dyDescent="0.2">
      <c r="A29" s="48" t="s">
        <v>168</v>
      </c>
      <c r="B29" s="48"/>
      <c r="C29" s="37"/>
      <c r="D29" s="50" t="s">
        <v>125</v>
      </c>
      <c r="E29" s="52">
        <f>E27/E2*100</f>
        <v>85.415002284009759</v>
      </c>
      <c r="F29" s="37"/>
    </row>
    <row r="30" spans="1:9" x14ac:dyDescent="0.2">
      <c r="A30" s="61" t="s">
        <v>111</v>
      </c>
      <c r="B30" s="64">
        <v>95</v>
      </c>
      <c r="C30" s="37"/>
      <c r="D30" s="50" t="s">
        <v>174</v>
      </c>
      <c r="E30" s="51">
        <f>E26+E19</f>
        <v>464920.83326258126</v>
      </c>
      <c r="F30" s="37"/>
      <c r="G30" s="37"/>
      <c r="H30" s="38"/>
    </row>
    <row r="31" spans="1:9" x14ac:dyDescent="0.2">
      <c r="A31" s="50" t="s">
        <v>250</v>
      </c>
      <c r="B31" s="52">
        <f>POWER(10,4.622-1030/(B30+273))</f>
        <v>66.540637371647676</v>
      </c>
      <c r="C31" s="37"/>
      <c r="D31" s="50"/>
      <c r="E31" s="52"/>
      <c r="F31" s="37"/>
      <c r="G31" s="36" t="s">
        <v>2</v>
      </c>
      <c r="H31" s="41" t="s">
        <v>144</v>
      </c>
      <c r="I31" s="37" t="s">
        <v>236</v>
      </c>
    </row>
    <row r="32" spans="1:9" x14ac:dyDescent="0.2">
      <c r="A32" s="50" t="s">
        <v>113</v>
      </c>
      <c r="B32" s="53">
        <f>B27*B7/B6</f>
        <v>0.77600000000000002</v>
      </c>
      <c r="C32" s="37"/>
      <c r="D32" s="48" t="s">
        <v>185</v>
      </c>
      <c r="E32" s="4"/>
      <c r="F32" s="37"/>
      <c r="G32" s="37" t="s">
        <v>202</v>
      </c>
      <c r="H32" s="40">
        <f>0.2*B14*B24</f>
        <v>2045.4545454545455</v>
      </c>
    </row>
    <row r="33" spans="1:9" x14ac:dyDescent="0.2">
      <c r="A33" s="50" t="s">
        <v>165</v>
      </c>
      <c r="B33" s="51">
        <f>B26</f>
        <v>32737.5</v>
      </c>
      <c r="C33" s="37"/>
      <c r="D33" s="61" t="s">
        <v>186</v>
      </c>
      <c r="E33" s="21">
        <v>98</v>
      </c>
      <c r="F33" s="37"/>
      <c r="G33" s="37" t="s">
        <v>224</v>
      </c>
      <c r="H33" s="40">
        <v>1600</v>
      </c>
    </row>
    <row r="34" spans="1:9" x14ac:dyDescent="0.2">
      <c r="A34" s="50" t="s">
        <v>166</v>
      </c>
      <c r="B34" s="4">
        <f>B32/B31*B33</f>
        <v>381.786243767249</v>
      </c>
      <c r="C34" s="37"/>
      <c r="D34" s="48" t="s">
        <v>187</v>
      </c>
      <c r="E34" s="56">
        <f>E27*E33/100</f>
        <v>26902.660622981908</v>
      </c>
      <c r="F34" s="37"/>
      <c r="G34" s="37" t="s">
        <v>225</v>
      </c>
      <c r="H34" s="40">
        <v>1800</v>
      </c>
    </row>
    <row r="35" spans="1:9" x14ac:dyDescent="0.2">
      <c r="A35" s="50" t="s">
        <v>138</v>
      </c>
      <c r="B35" s="51">
        <f>B22*B27/B31</f>
        <v>491992.58217428997</v>
      </c>
      <c r="C35" s="37"/>
      <c r="D35" s="50" t="s">
        <v>189</v>
      </c>
      <c r="E35" s="51">
        <f>E24-E27-E28</f>
        <v>3083.5421246326891</v>
      </c>
      <c r="F35" s="37"/>
      <c r="G35" s="55" t="s">
        <v>226</v>
      </c>
      <c r="H35" s="40">
        <v>1800</v>
      </c>
    </row>
    <row r="36" spans="1:9" x14ac:dyDescent="0.2">
      <c r="A36" s="50" t="s">
        <v>155</v>
      </c>
      <c r="B36" s="51">
        <f>B22-B35</f>
        <v>70507.417825710028</v>
      </c>
      <c r="C36" s="37"/>
      <c r="D36" s="50"/>
      <c r="E36" s="51"/>
      <c r="F36" s="37"/>
      <c r="G36" s="42" t="s">
        <v>1</v>
      </c>
      <c r="H36" s="40">
        <f>SUM(H32:H35)</f>
        <v>7245.454545454546</v>
      </c>
    </row>
    <row r="37" spans="1:9" x14ac:dyDescent="0.2">
      <c r="A37" s="50" t="s">
        <v>167</v>
      </c>
      <c r="B37" s="51">
        <f>B35-B33-B34</f>
        <v>458873.29593052273</v>
      </c>
      <c r="C37" s="37"/>
      <c r="D37" s="48" t="s">
        <v>190</v>
      </c>
      <c r="E37" s="54">
        <f>E27/B2*100</f>
        <v>81.338354113323987</v>
      </c>
      <c r="F37" s="37"/>
      <c r="G37" s="37"/>
      <c r="H37" s="38"/>
    </row>
    <row r="38" spans="1:9" x14ac:dyDescent="0.2">
      <c r="A38" s="50"/>
      <c r="B38" s="49"/>
      <c r="C38" s="37"/>
      <c r="D38" s="50"/>
      <c r="E38" s="52"/>
      <c r="F38" s="37"/>
      <c r="G38" s="37"/>
      <c r="H38" s="38"/>
    </row>
    <row r="39" spans="1:9" x14ac:dyDescent="0.2">
      <c r="A39" s="48" t="s">
        <v>169</v>
      </c>
      <c r="B39" s="49"/>
      <c r="C39" s="37"/>
      <c r="D39" s="50"/>
      <c r="E39" s="49"/>
      <c r="F39" s="37"/>
      <c r="G39" s="36" t="s">
        <v>203</v>
      </c>
      <c r="H39" s="41" t="s">
        <v>144</v>
      </c>
      <c r="I39" s="37" t="s">
        <v>236</v>
      </c>
    </row>
    <row r="40" spans="1:9" x14ac:dyDescent="0.2">
      <c r="A40" s="61" t="s">
        <v>117</v>
      </c>
      <c r="B40" s="64">
        <v>10</v>
      </c>
      <c r="C40" s="37"/>
      <c r="D40" s="50"/>
      <c r="E40" s="49"/>
      <c r="F40" s="37"/>
      <c r="G40" s="37" t="s">
        <v>109</v>
      </c>
      <c r="H40" s="40">
        <f>H32</f>
        <v>2045.4545454545455</v>
      </c>
    </row>
    <row r="41" spans="1:9" x14ac:dyDescent="0.2">
      <c r="A41" s="50" t="s">
        <v>118</v>
      </c>
      <c r="B41" s="52">
        <f>POWER(10,4.622-1030/(B40+273))</f>
        <v>9.6033781047730979</v>
      </c>
      <c r="C41" s="37"/>
      <c r="D41" s="50"/>
      <c r="E41" s="51"/>
      <c r="F41" s="37"/>
      <c r="G41" s="37" t="s">
        <v>115</v>
      </c>
      <c r="H41" s="40">
        <f>B36*2.2*1000/3413</f>
        <v>45448.672492400263</v>
      </c>
    </row>
    <row r="42" spans="1:9" x14ac:dyDescent="0.2">
      <c r="A42" s="61" t="s">
        <v>119</v>
      </c>
      <c r="B42" s="64">
        <v>0.2</v>
      </c>
      <c r="C42" s="37"/>
      <c r="D42" s="50"/>
      <c r="E42" s="49"/>
      <c r="F42" s="37"/>
      <c r="G42" s="37" t="s">
        <v>116</v>
      </c>
      <c r="H42" s="40">
        <f>B73*2.2*1000/3413</f>
        <v>261806.66272816138</v>
      </c>
    </row>
    <row r="43" spans="1:9" x14ac:dyDescent="0.2">
      <c r="A43" s="50" t="s">
        <v>139</v>
      </c>
      <c r="B43" s="51">
        <f>(B41/1000*B37)/(1-B41/1000)</f>
        <v>4449.4636447482071</v>
      </c>
      <c r="C43" s="37"/>
      <c r="D43" s="50"/>
      <c r="E43" s="51"/>
      <c r="F43" s="37"/>
      <c r="G43" s="37" t="s">
        <v>251</v>
      </c>
      <c r="H43" s="40">
        <f>E35*2.2*1000/3413</f>
        <v>1987.633364837948</v>
      </c>
    </row>
    <row r="44" spans="1:9" x14ac:dyDescent="0.2">
      <c r="A44" s="50" t="s">
        <v>140</v>
      </c>
      <c r="B44" s="51">
        <f>(B42/1000*B37)/(1-B42/1000)</f>
        <v>91.793017789662471</v>
      </c>
      <c r="C44" s="37"/>
      <c r="D44" s="50"/>
      <c r="E44" s="51"/>
      <c r="F44" s="37"/>
      <c r="G44" s="42" t="s">
        <v>1</v>
      </c>
      <c r="H44" s="40">
        <f>SUM(H40:H43)</f>
        <v>311288.42313085415</v>
      </c>
    </row>
    <row r="45" spans="1:9" x14ac:dyDescent="0.2">
      <c r="A45" s="50" t="s">
        <v>120</v>
      </c>
      <c r="B45" s="52">
        <f>B43/(B43+B44)*100</f>
        <v>97.978686856726483</v>
      </c>
      <c r="C45" s="37"/>
      <c r="D45" s="50"/>
      <c r="E45" s="49"/>
      <c r="F45" s="37"/>
    </row>
    <row r="46" spans="1:9" x14ac:dyDescent="0.2">
      <c r="A46" s="50" t="s">
        <v>141</v>
      </c>
      <c r="B46" s="51">
        <f>B33-B43</f>
        <v>28288.036355251792</v>
      </c>
      <c r="C46" s="37"/>
      <c r="D46" s="50"/>
      <c r="E46" s="49"/>
      <c r="F46" s="37"/>
    </row>
    <row r="47" spans="1:9" x14ac:dyDescent="0.2">
      <c r="A47" s="50" t="s">
        <v>142</v>
      </c>
      <c r="B47" s="52">
        <f>(B10*B25/100)-B44</f>
        <v>344.70698221033751</v>
      </c>
      <c r="C47" s="37"/>
      <c r="D47" s="48"/>
      <c r="E47" s="49"/>
      <c r="F47" s="37"/>
      <c r="H47" s="57"/>
    </row>
    <row r="48" spans="1:9" x14ac:dyDescent="0.2">
      <c r="A48" s="50" t="s">
        <v>121</v>
      </c>
      <c r="B48" s="52">
        <f>B46/(B46+B47)*100</f>
        <v>98.796109132304707</v>
      </c>
      <c r="C48" s="37"/>
      <c r="D48" s="48" t="s">
        <v>104</v>
      </c>
      <c r="E48" s="49"/>
      <c r="F48" s="37"/>
      <c r="G48" s="36" t="s">
        <v>206</v>
      </c>
      <c r="H48" s="40" t="s">
        <v>144</v>
      </c>
      <c r="I48" s="37" t="s">
        <v>236</v>
      </c>
    </row>
    <row r="49" spans="1:8" x14ac:dyDescent="0.2">
      <c r="A49" s="50" t="s">
        <v>152</v>
      </c>
      <c r="B49" s="51">
        <f>B35-B46-B47</f>
        <v>463359.83883682784</v>
      </c>
      <c r="C49" s="37"/>
      <c r="D49" s="50" t="s">
        <v>237</v>
      </c>
      <c r="E49" s="51">
        <f>B21+B56+B93+E6</f>
        <v>648712.91332357016</v>
      </c>
      <c r="F49" s="37"/>
      <c r="G49" s="37" t="s">
        <v>114</v>
      </c>
      <c r="H49" s="40">
        <f>B35*2.2*(B30-B40)/16000</f>
        <v>5750.1633041620144</v>
      </c>
    </row>
    <row r="50" spans="1:8" x14ac:dyDescent="0.2">
      <c r="A50" s="50"/>
      <c r="B50" s="49"/>
      <c r="C50" s="37"/>
      <c r="D50" s="50" t="s">
        <v>238</v>
      </c>
      <c r="E50" s="51">
        <f>B36+B73</f>
        <v>476664.75413989852</v>
      </c>
      <c r="F50" s="37"/>
      <c r="G50" s="37" t="s">
        <v>207</v>
      </c>
      <c r="H50" s="40">
        <f>B65*2.2*(B68-B77)/16000</f>
        <v>5521.1955441180326</v>
      </c>
    </row>
    <row r="51" spans="1:8" x14ac:dyDescent="0.2">
      <c r="A51" s="48" t="s">
        <v>170</v>
      </c>
      <c r="B51" s="48"/>
      <c r="C51" s="37"/>
      <c r="D51" s="50" t="s">
        <v>239</v>
      </c>
      <c r="E51" s="51">
        <f>E49-E50</f>
        <v>172048.15918367164</v>
      </c>
      <c r="F51" s="37"/>
      <c r="G51" s="37" t="s">
        <v>208</v>
      </c>
      <c r="H51" s="40">
        <f>E7*2.2*(E4-E10)/16000</f>
        <v>5649.9956302462851</v>
      </c>
    </row>
    <row r="52" spans="1:8" x14ac:dyDescent="0.2">
      <c r="A52" s="61" t="s">
        <v>122</v>
      </c>
      <c r="B52" s="62">
        <v>95</v>
      </c>
      <c r="C52" s="37"/>
      <c r="D52" s="50" t="s">
        <v>241</v>
      </c>
      <c r="E52" s="51">
        <f>E51*0.8/1000</f>
        <v>137.63852734693731</v>
      </c>
      <c r="F52" s="37" t="s">
        <v>240</v>
      </c>
      <c r="G52" s="42" t="s">
        <v>1</v>
      </c>
      <c r="H52" s="40">
        <f>SUM(H49:H51)</f>
        <v>16921.354478526333</v>
      </c>
    </row>
    <row r="53" spans="1:8" x14ac:dyDescent="0.2">
      <c r="A53" s="50" t="s">
        <v>123</v>
      </c>
      <c r="B53" s="51">
        <v>10</v>
      </c>
      <c r="C53" s="37"/>
      <c r="D53" s="50"/>
      <c r="E53" s="49"/>
      <c r="F53" s="37"/>
      <c r="G53" s="42"/>
      <c r="H53" s="38"/>
    </row>
    <row r="54" spans="1:8" x14ac:dyDescent="0.2">
      <c r="A54" s="50" t="s">
        <v>146</v>
      </c>
      <c r="B54" s="51">
        <f>(B46+B47)*100/B52</f>
        <v>30139.729828907504</v>
      </c>
      <c r="C54" s="37"/>
      <c r="D54" s="48" t="s">
        <v>74</v>
      </c>
      <c r="E54" s="49"/>
      <c r="F54" s="37"/>
      <c r="G54" s="37"/>
      <c r="H54" s="38"/>
    </row>
    <row r="55" spans="1:8" x14ac:dyDescent="0.2">
      <c r="A55" s="61" t="s">
        <v>124</v>
      </c>
      <c r="B55" s="64">
        <v>0.3</v>
      </c>
      <c r="C55" s="37"/>
      <c r="D55" s="19" t="s">
        <v>75</v>
      </c>
      <c r="E55" s="20">
        <v>14</v>
      </c>
      <c r="F55" s="37" t="s">
        <v>236</v>
      </c>
      <c r="G55" s="37"/>
      <c r="H55" s="38"/>
    </row>
    <row r="56" spans="1:8" x14ac:dyDescent="0.2">
      <c r="A56" s="50" t="s">
        <v>147</v>
      </c>
      <c r="B56" s="51">
        <f>B54*B55</f>
        <v>9041.9189486722516</v>
      </c>
      <c r="C56" s="37"/>
      <c r="D56" s="3" t="s">
        <v>76</v>
      </c>
      <c r="E56" s="2">
        <f>2080*E55</f>
        <v>29120</v>
      </c>
      <c r="F56" s="37"/>
      <c r="G56" s="37"/>
      <c r="H56" s="38"/>
    </row>
    <row r="57" spans="1:8" x14ac:dyDescent="0.2">
      <c r="A57" s="50" t="s">
        <v>149</v>
      </c>
      <c r="B57" s="51">
        <f>B46</f>
        <v>28288.036355251792</v>
      </c>
      <c r="C57" s="37"/>
      <c r="D57" s="3" t="s">
        <v>81</v>
      </c>
      <c r="E57" s="4">
        <f>E56/Fermentation!B13</f>
        <v>457.6</v>
      </c>
      <c r="F57" s="37"/>
      <c r="G57" s="37"/>
      <c r="H57" s="38"/>
    </row>
    <row r="58" spans="1:8" x14ac:dyDescent="0.2">
      <c r="A58" s="50" t="s">
        <v>150</v>
      </c>
      <c r="B58" s="52">
        <f>B47</f>
        <v>344.70698221033751</v>
      </c>
      <c r="C58" s="37"/>
      <c r="D58" s="50"/>
      <c r="E58" s="49"/>
      <c r="F58" s="37"/>
      <c r="G58" s="37"/>
      <c r="H58" s="38"/>
    </row>
    <row r="59" spans="1:8" x14ac:dyDescent="0.2">
      <c r="A59" s="50" t="s">
        <v>125</v>
      </c>
      <c r="B59" s="52">
        <f>B57/B33*100</f>
        <v>86.408663933567894</v>
      </c>
      <c r="C59" s="37"/>
      <c r="D59" s="50"/>
      <c r="E59" s="49"/>
      <c r="F59" s="37"/>
      <c r="G59" s="37"/>
      <c r="H59" s="38"/>
    </row>
    <row r="60" spans="1:8" x14ac:dyDescent="0.2">
      <c r="A60" s="61" t="s">
        <v>0</v>
      </c>
      <c r="B60" s="62">
        <f>B35/165/60</f>
        <v>49.69622042164545</v>
      </c>
      <c r="C60" s="65"/>
      <c r="D60" s="1" t="s">
        <v>77</v>
      </c>
      <c r="F60" s="37" t="s">
        <v>236</v>
      </c>
      <c r="G60" s="37"/>
      <c r="H60" s="38"/>
    </row>
    <row r="61" spans="1:8" x14ac:dyDescent="0.2">
      <c r="C61" s="37"/>
      <c r="D61" s="19" t="s">
        <v>84</v>
      </c>
      <c r="E61" s="20">
        <v>15</v>
      </c>
      <c r="G61" s="37"/>
      <c r="H61" s="38"/>
    </row>
    <row r="62" spans="1:8" x14ac:dyDescent="0.2">
      <c r="A62" s="48" t="s">
        <v>171</v>
      </c>
      <c r="B62" s="48"/>
      <c r="C62" s="37"/>
      <c r="D62" s="3" t="s">
        <v>85</v>
      </c>
      <c r="E62" s="59">
        <f>1/(E61*Fermentation!B13)</f>
        <v>1.0476190476190477E-3</v>
      </c>
      <c r="F62" s="37"/>
      <c r="G62" s="37"/>
      <c r="H62" s="38"/>
    </row>
    <row r="63" spans="1:8" x14ac:dyDescent="0.2">
      <c r="A63" s="50" t="s">
        <v>151</v>
      </c>
      <c r="B63" s="51">
        <f>B43</f>
        <v>4449.4636447482071</v>
      </c>
      <c r="C63" s="37"/>
      <c r="D63" s="50"/>
      <c r="E63" s="49"/>
      <c r="F63" s="37"/>
      <c r="G63" s="37"/>
      <c r="H63" s="38"/>
    </row>
    <row r="64" spans="1:8" x14ac:dyDescent="0.2">
      <c r="A64" s="50" t="s">
        <v>153</v>
      </c>
      <c r="B64" s="51">
        <f>B44</f>
        <v>91.793017789662471</v>
      </c>
      <c r="C64" s="37"/>
      <c r="D64" s="50"/>
      <c r="E64" s="49"/>
      <c r="F64" s="37"/>
      <c r="G64" s="37"/>
      <c r="H64" s="38"/>
    </row>
    <row r="65" spans="1:8" x14ac:dyDescent="0.2">
      <c r="A65" s="50" t="s">
        <v>148</v>
      </c>
      <c r="B65" s="51">
        <f>B49+B56</f>
        <v>472401.75778550009</v>
      </c>
      <c r="C65" s="37"/>
      <c r="D65" s="50"/>
      <c r="E65" s="49"/>
      <c r="F65" s="37"/>
      <c r="G65" s="37"/>
      <c r="H65" s="38"/>
    </row>
    <row r="66" spans="1:8" x14ac:dyDescent="0.2">
      <c r="A66" s="50" t="s">
        <v>126</v>
      </c>
      <c r="B66" s="52">
        <f>B63/(B63+B65)*1000</f>
        <v>9.3309263870661088</v>
      </c>
      <c r="C66" s="37"/>
      <c r="D66" s="50"/>
      <c r="E66" s="49"/>
      <c r="F66" s="37"/>
      <c r="G66" s="37"/>
      <c r="H66" s="38"/>
    </row>
    <row r="67" spans="1:8" x14ac:dyDescent="0.2">
      <c r="A67" s="50" t="s">
        <v>127</v>
      </c>
      <c r="B67" s="53">
        <f>B64/(B64+B65)*1000</f>
        <v>0.19427358877936957</v>
      </c>
      <c r="C67" s="37"/>
      <c r="D67" s="50"/>
      <c r="E67" s="49"/>
      <c r="F67" s="37"/>
      <c r="G67" s="37"/>
      <c r="H67" s="38"/>
    </row>
    <row r="68" spans="1:8" x14ac:dyDescent="0.2">
      <c r="A68" s="61" t="s">
        <v>111</v>
      </c>
      <c r="B68" s="64">
        <v>95</v>
      </c>
      <c r="C68" s="37"/>
      <c r="D68" s="50"/>
      <c r="E68" s="49"/>
      <c r="F68" s="37"/>
      <c r="G68" s="37"/>
      <c r="H68" s="38"/>
    </row>
    <row r="69" spans="1:8" x14ac:dyDescent="0.2">
      <c r="A69" s="50" t="s">
        <v>112</v>
      </c>
      <c r="B69" s="52">
        <f>POWER(10,4.622-1030/(B68+273))</f>
        <v>66.540637371647676</v>
      </c>
      <c r="C69" s="37"/>
      <c r="D69" s="50"/>
      <c r="E69" s="49"/>
      <c r="F69" s="37"/>
      <c r="G69" s="37"/>
      <c r="H69" s="38"/>
    </row>
    <row r="70" spans="1:8" x14ac:dyDescent="0.2">
      <c r="A70" s="50" t="s">
        <v>113</v>
      </c>
      <c r="B70" s="52">
        <f>B69*B67/B66</f>
        <v>1.3854024654803059</v>
      </c>
      <c r="C70" s="37"/>
      <c r="D70" s="50"/>
      <c r="E70" s="49"/>
      <c r="F70" s="37"/>
      <c r="G70" s="37"/>
      <c r="H70" s="38"/>
    </row>
    <row r="71" spans="1:8" x14ac:dyDescent="0.2">
      <c r="A71" s="50" t="s">
        <v>138</v>
      </c>
      <c r="B71" s="51">
        <f>B66/B69*B65</f>
        <v>66244.42147131158</v>
      </c>
      <c r="C71" s="37"/>
      <c r="D71" s="50"/>
      <c r="E71" s="49"/>
      <c r="F71" s="37"/>
      <c r="G71" s="37"/>
      <c r="H71" s="38"/>
    </row>
    <row r="72" spans="1:8" x14ac:dyDescent="0.2">
      <c r="A72" s="50" t="s">
        <v>154</v>
      </c>
      <c r="B72" s="51">
        <f>B63</f>
        <v>4449.4636447482071</v>
      </c>
      <c r="C72" s="37"/>
      <c r="D72" s="50"/>
      <c r="E72" s="49"/>
      <c r="F72" s="37"/>
      <c r="G72" s="37"/>
      <c r="H72" s="38"/>
    </row>
    <row r="73" spans="1:8" x14ac:dyDescent="0.2">
      <c r="A73" s="50" t="s">
        <v>155</v>
      </c>
      <c r="B73" s="51">
        <f>B65-B71</f>
        <v>406157.33631418849</v>
      </c>
      <c r="C73" s="37"/>
      <c r="D73" s="50"/>
      <c r="E73" s="49"/>
      <c r="F73" s="37"/>
      <c r="G73" s="37"/>
      <c r="H73" s="38"/>
    </row>
    <row r="74" spans="1:8" x14ac:dyDescent="0.2">
      <c r="A74" s="50" t="s">
        <v>156</v>
      </c>
      <c r="B74" s="51">
        <f>B71-B72-B64</f>
        <v>61703.164808773712</v>
      </c>
      <c r="C74" s="37"/>
      <c r="D74" s="50"/>
      <c r="E74" s="49"/>
      <c r="F74" s="37"/>
      <c r="G74" s="37"/>
      <c r="H74" s="38"/>
    </row>
    <row r="75" spans="1:8" x14ac:dyDescent="0.2">
      <c r="A75" s="50"/>
      <c r="B75" s="51"/>
      <c r="C75" s="37"/>
      <c r="D75" s="50"/>
      <c r="E75" s="49"/>
      <c r="F75" s="37"/>
      <c r="G75" s="37"/>
      <c r="H75" s="38"/>
    </row>
    <row r="76" spans="1:8" x14ac:dyDescent="0.2">
      <c r="A76" s="48" t="s">
        <v>172</v>
      </c>
      <c r="B76" s="48"/>
      <c r="C76" s="37"/>
      <c r="D76" s="50"/>
      <c r="E76" s="49"/>
      <c r="F76" s="37"/>
      <c r="G76" s="37"/>
      <c r="H76" s="38"/>
    </row>
    <row r="77" spans="1:8" x14ac:dyDescent="0.2">
      <c r="A77" s="61" t="s">
        <v>117</v>
      </c>
      <c r="B77" s="64">
        <v>10</v>
      </c>
      <c r="C77" s="37"/>
      <c r="D77" s="50"/>
      <c r="E77" s="49"/>
      <c r="F77" s="37"/>
      <c r="G77" s="37"/>
      <c r="H77" s="38"/>
    </row>
    <row r="78" spans="1:8" x14ac:dyDescent="0.2">
      <c r="A78" s="50" t="s">
        <v>118</v>
      </c>
      <c r="B78" s="52">
        <f>POWER(10,4.622-1030/(B77+273))</f>
        <v>9.6033781047730979</v>
      </c>
      <c r="C78" s="37"/>
      <c r="D78" s="50"/>
      <c r="E78" s="49"/>
      <c r="F78" s="37"/>
      <c r="G78" s="37"/>
      <c r="H78" s="38"/>
    </row>
    <row r="79" spans="1:8" x14ac:dyDescent="0.2">
      <c r="A79" s="61" t="s">
        <v>119</v>
      </c>
      <c r="B79" s="64">
        <v>0.25</v>
      </c>
      <c r="C79" s="37"/>
      <c r="D79" s="50"/>
      <c r="E79" s="49"/>
      <c r="F79" s="37"/>
      <c r="G79" s="37"/>
      <c r="H79" s="38"/>
    </row>
    <row r="80" spans="1:8" x14ac:dyDescent="0.2">
      <c r="A80" s="50" t="s">
        <v>139</v>
      </c>
      <c r="B80" s="51">
        <f>(B78/1000*B74)/(1-B78/1000)</f>
        <v>598.30456689751259</v>
      </c>
      <c r="C80" s="37"/>
      <c r="D80" s="50"/>
      <c r="E80" s="49"/>
      <c r="F80" s="37"/>
      <c r="G80" s="37"/>
      <c r="H80" s="38"/>
    </row>
    <row r="81" spans="1:8" x14ac:dyDescent="0.2">
      <c r="A81" s="50" t="s">
        <v>140</v>
      </c>
      <c r="B81" s="52">
        <f>(B79/1000*B74)/(1-B79/1000)</f>
        <v>15.429648614347014</v>
      </c>
      <c r="C81" s="37"/>
      <c r="D81" s="50"/>
      <c r="E81" s="49"/>
      <c r="F81" s="37"/>
      <c r="G81" s="37"/>
      <c r="H81" s="38"/>
    </row>
    <row r="82" spans="1:8" x14ac:dyDescent="0.2">
      <c r="A82" s="50" t="s">
        <v>120</v>
      </c>
      <c r="B82" s="52">
        <f>+B80/(B80+B81)*100</f>
        <v>97.485939642214902</v>
      </c>
      <c r="C82" s="37"/>
      <c r="D82" s="50"/>
      <c r="E82" s="49"/>
      <c r="F82" s="37"/>
      <c r="G82" s="37"/>
      <c r="H82" s="38"/>
    </row>
    <row r="83" spans="1:8" x14ac:dyDescent="0.2">
      <c r="A83" s="50" t="s">
        <v>141</v>
      </c>
      <c r="B83" s="51">
        <f>B63-B80</f>
        <v>3851.1590778506943</v>
      </c>
      <c r="C83" s="37"/>
      <c r="D83" s="50"/>
      <c r="E83" s="49"/>
      <c r="F83" s="37"/>
      <c r="G83" s="37"/>
      <c r="H83" s="38"/>
    </row>
    <row r="84" spans="1:8" x14ac:dyDescent="0.2">
      <c r="A84" s="50" t="s">
        <v>142</v>
      </c>
      <c r="B84" s="52">
        <f>B64-B81</f>
        <v>76.363369175315455</v>
      </c>
      <c r="C84" s="37"/>
      <c r="D84" s="50"/>
      <c r="E84" s="49"/>
      <c r="F84" s="37"/>
      <c r="G84" s="37"/>
      <c r="H84" s="38"/>
    </row>
    <row r="85" spans="1:8" x14ac:dyDescent="0.2">
      <c r="A85" s="50" t="s">
        <v>121</v>
      </c>
      <c r="B85" s="52">
        <f>B83/(B83+B84)*100</f>
        <v>98.055685990206399</v>
      </c>
      <c r="C85" s="37"/>
      <c r="D85" s="50"/>
      <c r="E85" s="49"/>
      <c r="F85" s="37"/>
      <c r="G85" s="37"/>
      <c r="H85" s="38"/>
    </row>
    <row r="86" spans="1:8" x14ac:dyDescent="0.2">
      <c r="A86" s="50" t="s">
        <v>145</v>
      </c>
      <c r="B86" s="51">
        <f>B74-B83-B84</f>
        <v>57775.642361747705</v>
      </c>
      <c r="C86" s="37"/>
      <c r="D86" s="50"/>
      <c r="E86" s="49"/>
      <c r="F86" s="37"/>
      <c r="G86" s="37"/>
      <c r="H86" s="38"/>
    </row>
    <row r="87" spans="1:8" x14ac:dyDescent="0.2">
      <c r="A87" s="50"/>
      <c r="B87" s="49"/>
      <c r="C87" s="37"/>
      <c r="D87" s="50"/>
      <c r="E87" s="49"/>
      <c r="F87" s="37"/>
      <c r="G87" s="37"/>
      <c r="H87" s="38"/>
    </row>
    <row r="88" spans="1:8" x14ac:dyDescent="0.2">
      <c r="A88" s="48" t="s">
        <v>173</v>
      </c>
      <c r="B88" s="48"/>
      <c r="C88" s="37"/>
      <c r="D88" s="50"/>
      <c r="E88" s="49"/>
      <c r="F88" s="37"/>
      <c r="G88" s="37"/>
      <c r="H88" s="38"/>
    </row>
    <row r="89" spans="1:8" x14ac:dyDescent="0.2">
      <c r="A89" s="61" t="s">
        <v>122</v>
      </c>
      <c r="B89" s="62">
        <v>90</v>
      </c>
      <c r="C89" s="37"/>
      <c r="D89" s="50"/>
      <c r="E89" s="49"/>
      <c r="F89" s="37"/>
      <c r="G89" s="37"/>
      <c r="H89" s="38"/>
    </row>
    <row r="90" spans="1:8" x14ac:dyDescent="0.2">
      <c r="A90" s="50" t="s">
        <v>123</v>
      </c>
      <c r="B90" s="51">
        <f>100-B89</f>
        <v>10</v>
      </c>
      <c r="C90" s="37"/>
      <c r="D90" s="50"/>
      <c r="E90" s="49"/>
      <c r="F90" s="37"/>
      <c r="G90" s="37"/>
      <c r="H90" s="38"/>
    </row>
    <row r="91" spans="1:8" x14ac:dyDescent="0.2">
      <c r="A91" s="50" t="s">
        <v>146</v>
      </c>
      <c r="B91" s="51">
        <f>(B83+B84)*100/B89</f>
        <v>4363.9138300288996</v>
      </c>
      <c r="C91" s="37"/>
      <c r="D91" s="50"/>
      <c r="E91" s="49"/>
      <c r="F91" s="37"/>
      <c r="G91" s="37"/>
      <c r="H91" s="38"/>
    </row>
    <row r="92" spans="1:8" x14ac:dyDescent="0.2">
      <c r="A92" s="61" t="s">
        <v>124</v>
      </c>
      <c r="B92" s="64">
        <v>0.3</v>
      </c>
      <c r="C92" s="37"/>
      <c r="D92" s="50"/>
      <c r="E92" s="49"/>
      <c r="F92" s="37"/>
      <c r="G92" s="37"/>
      <c r="H92" s="38"/>
    </row>
    <row r="93" spans="1:8" x14ac:dyDescent="0.2">
      <c r="A93" s="50" t="s">
        <v>147</v>
      </c>
      <c r="B93" s="51">
        <f>B91*B92</f>
        <v>1309.1741490086699</v>
      </c>
      <c r="C93" s="37"/>
      <c r="D93" s="50"/>
      <c r="E93" s="49"/>
      <c r="F93" s="37"/>
      <c r="G93" s="37"/>
      <c r="H93" s="38"/>
    </row>
    <row r="94" spans="1:8" x14ac:dyDescent="0.2">
      <c r="A94" s="50" t="s">
        <v>157</v>
      </c>
      <c r="B94" s="51">
        <f>B83</f>
        <v>3851.1590778506943</v>
      </c>
      <c r="C94" s="37"/>
      <c r="D94" s="50"/>
      <c r="E94" s="49"/>
      <c r="F94" s="37"/>
      <c r="G94" s="37"/>
      <c r="H94" s="38"/>
    </row>
    <row r="95" spans="1:8" x14ac:dyDescent="0.2">
      <c r="A95" s="50" t="s">
        <v>142</v>
      </c>
      <c r="B95" s="52">
        <f>B84</f>
        <v>76.363369175315455</v>
      </c>
      <c r="C95" s="37"/>
      <c r="D95" s="50"/>
      <c r="E95" s="49"/>
      <c r="F95" s="37"/>
      <c r="G95" s="37"/>
      <c r="H95" s="38"/>
    </row>
    <row r="96" spans="1:8" x14ac:dyDescent="0.2">
      <c r="A96" s="50" t="s">
        <v>125</v>
      </c>
      <c r="B96" s="52">
        <f>B94/B72*100</f>
        <v>86.553332835886778</v>
      </c>
      <c r="C96" s="37"/>
      <c r="D96" s="50"/>
      <c r="E96" s="49"/>
      <c r="F96" s="37"/>
      <c r="G96" s="37"/>
      <c r="H96" s="38"/>
    </row>
    <row r="97" spans="1:8" x14ac:dyDescent="0.2">
      <c r="A97" s="50" t="s">
        <v>174</v>
      </c>
      <c r="B97" s="51">
        <f>B93+B86</f>
        <v>59084.816510756376</v>
      </c>
      <c r="C97" s="37"/>
      <c r="D97" s="50"/>
      <c r="E97" s="49"/>
      <c r="F97" s="37"/>
      <c r="G97" s="37"/>
      <c r="H97" s="38"/>
    </row>
    <row r="98" spans="1:8" x14ac:dyDescent="0.2">
      <c r="A98" s="50" t="s">
        <v>176</v>
      </c>
      <c r="B98" s="52">
        <f>B95+B47</f>
        <v>421.070351385653</v>
      </c>
      <c r="C98" s="37"/>
      <c r="D98" s="50"/>
      <c r="E98" s="49"/>
      <c r="F98" s="37"/>
      <c r="G98" s="37"/>
      <c r="H98" s="38"/>
    </row>
    <row r="99" spans="1:8" x14ac:dyDescent="0.2">
      <c r="A99" s="50" t="s">
        <v>175</v>
      </c>
      <c r="B99" s="4">
        <f>B94+B57</f>
        <v>32139.195433102486</v>
      </c>
      <c r="C99" s="37"/>
      <c r="D99" s="50"/>
      <c r="E99" s="49"/>
      <c r="F99" s="37"/>
      <c r="G99" s="37"/>
      <c r="H99" s="38"/>
    </row>
    <row r="100" spans="1:8" x14ac:dyDescent="0.2">
      <c r="A100" s="50" t="s">
        <v>177</v>
      </c>
      <c r="B100" s="7">
        <f>B99/B26*100</f>
        <v>98.172418275990793</v>
      </c>
      <c r="C100" s="37"/>
      <c r="D100" s="50"/>
      <c r="E100" s="49"/>
      <c r="F100" s="37"/>
      <c r="G100" s="37"/>
      <c r="H100" s="38"/>
    </row>
    <row r="101" spans="1:8" x14ac:dyDescent="0.2">
      <c r="A101" s="50" t="s">
        <v>178</v>
      </c>
      <c r="B101" s="7">
        <f>B99/(B99+B98)*100</f>
        <v>98.706796946398839</v>
      </c>
      <c r="C101" s="37"/>
      <c r="D101" s="50"/>
      <c r="E101" s="49"/>
      <c r="F101" s="37"/>
      <c r="G101" s="37"/>
      <c r="H101" s="38"/>
    </row>
    <row r="102" spans="1:8" x14ac:dyDescent="0.2">
      <c r="A102" s="3"/>
      <c r="B102" s="3"/>
      <c r="C102" s="37"/>
      <c r="D102" s="50"/>
      <c r="E102" s="49"/>
      <c r="F102" s="37"/>
      <c r="G102" s="37"/>
      <c r="H102" s="38"/>
    </row>
    <row r="103" spans="1:8" x14ac:dyDescent="0.2">
      <c r="A103" s="3"/>
      <c r="B103" s="3"/>
      <c r="C103" s="37"/>
      <c r="D103" s="50"/>
      <c r="E103" s="49"/>
      <c r="F103" s="37"/>
      <c r="G103" s="37"/>
      <c r="H103" s="38"/>
    </row>
    <row r="104" spans="1:8" x14ac:dyDescent="0.2">
      <c r="A104" s="3"/>
      <c r="B104" s="3"/>
      <c r="C104" s="37"/>
      <c r="D104" s="50"/>
      <c r="E104" s="49"/>
      <c r="F104" s="37"/>
      <c r="G104" s="37"/>
      <c r="H104" s="38"/>
    </row>
    <row r="105" spans="1:8" x14ac:dyDescent="0.2">
      <c r="A105" s="50"/>
      <c r="B105" s="49"/>
      <c r="C105" s="37"/>
      <c r="D105" s="50"/>
      <c r="E105" s="49"/>
      <c r="F105" s="37"/>
      <c r="G105" s="37"/>
      <c r="H105" s="38"/>
    </row>
    <row r="106" spans="1:8" x14ac:dyDescent="0.2">
      <c r="A106" s="3"/>
      <c r="B106" s="3"/>
    </row>
    <row r="107" spans="1:8" x14ac:dyDescent="0.2">
      <c r="A107" s="3"/>
      <c r="B107" s="3"/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3" sqref="A3"/>
    </sheetView>
  </sheetViews>
  <sheetFormatPr baseColWidth="10" defaultRowHeight="16" x14ac:dyDescent="0.2"/>
  <cols>
    <col min="1" max="1" width="23.6640625" customWidth="1"/>
    <col min="2" max="2" width="16" customWidth="1"/>
    <col min="3" max="3" width="14.6640625" customWidth="1"/>
    <col min="5" max="5" width="12.5" customWidth="1"/>
  </cols>
  <sheetData>
    <row r="1" spans="1:12" x14ac:dyDescent="0.2">
      <c r="A1" s="18" t="s">
        <v>199</v>
      </c>
      <c r="B1" s="17">
        <f>'DSP Flow'!E34</f>
        <v>26902.660622981908</v>
      </c>
    </row>
    <row r="2" spans="1:12" x14ac:dyDescent="0.2">
      <c r="A2" s="10"/>
      <c r="B2" s="10"/>
      <c r="C2" s="10"/>
      <c r="D2" s="10"/>
      <c r="E2" s="10"/>
      <c r="F2" s="10"/>
    </row>
    <row r="3" spans="1:12" x14ac:dyDescent="0.2">
      <c r="A3" s="18" t="s">
        <v>291</v>
      </c>
      <c r="B3" s="10"/>
      <c r="C3" s="10"/>
      <c r="D3" s="10"/>
      <c r="E3" s="10"/>
      <c r="F3" s="10"/>
    </row>
    <row r="4" spans="1:12" x14ac:dyDescent="0.2">
      <c r="A4" s="10"/>
      <c r="B4" s="15" t="s">
        <v>83</v>
      </c>
      <c r="C4" s="15" t="s">
        <v>3</v>
      </c>
      <c r="D4" s="15" t="s">
        <v>5</v>
      </c>
      <c r="E4" s="15" t="s">
        <v>200</v>
      </c>
      <c r="F4" s="15" t="s">
        <v>222</v>
      </c>
    </row>
    <row r="5" spans="1:12" x14ac:dyDescent="0.2">
      <c r="A5" s="10"/>
      <c r="B5" s="15"/>
      <c r="C5" s="15"/>
      <c r="D5" s="15"/>
      <c r="E5" s="15"/>
      <c r="F5" s="10"/>
    </row>
    <row r="6" spans="1:12" x14ac:dyDescent="0.2">
      <c r="A6" s="10" t="s">
        <v>219</v>
      </c>
      <c r="B6" s="13">
        <f>'DSP Flow'!B9</f>
        <v>120</v>
      </c>
      <c r="C6" s="12">
        <v>200</v>
      </c>
      <c r="D6" s="13">
        <f>B6*C6</f>
        <v>24000</v>
      </c>
      <c r="E6" s="22">
        <f>D6/$B$1</f>
        <v>0.8921050722952556</v>
      </c>
      <c r="F6" s="16">
        <f>E6*1000</f>
        <v>892.10507229525558</v>
      </c>
    </row>
    <row r="7" spans="1:12" x14ac:dyDescent="0.2">
      <c r="A7" s="10"/>
      <c r="B7" s="11"/>
      <c r="C7" s="11"/>
      <c r="D7" s="13"/>
      <c r="E7" s="24"/>
      <c r="F7" s="58"/>
    </row>
    <row r="8" spans="1:12" x14ac:dyDescent="0.2">
      <c r="A8" s="10" t="s">
        <v>160</v>
      </c>
      <c r="B8" s="13">
        <f>FERMOPEX!$B$1</f>
        <v>450000</v>
      </c>
      <c r="C8" s="22">
        <f>FERMOPEX!E14</f>
        <v>0.21243693861111113</v>
      </c>
      <c r="D8" s="13">
        <f>B8*C8</f>
        <v>95596.622375000006</v>
      </c>
      <c r="E8" s="22">
        <f>D8/$B$1</f>
        <v>3.5534263214596509</v>
      </c>
      <c r="F8" s="16">
        <f>E8*1000</f>
        <v>3553.4263214596508</v>
      </c>
    </row>
    <row r="9" spans="1:12" x14ac:dyDescent="0.2">
      <c r="A9" s="10"/>
      <c r="B9" s="11"/>
      <c r="C9" s="11"/>
      <c r="D9" s="13"/>
      <c r="E9" s="24"/>
      <c r="F9" s="10"/>
    </row>
    <row r="10" spans="1:12" x14ac:dyDescent="0.2">
      <c r="A10" s="14" t="s">
        <v>1</v>
      </c>
      <c r="B10" s="11"/>
      <c r="C10" s="11"/>
      <c r="D10" s="16">
        <f>D6+D8</f>
        <v>119596.62237500001</v>
      </c>
      <c r="E10" s="26">
        <f t="shared" ref="E10:F10" si="0">E6+E8</f>
        <v>4.4455313937549068</v>
      </c>
      <c r="F10" s="16">
        <f t="shared" si="0"/>
        <v>4445.5313937549063</v>
      </c>
      <c r="G10" s="10"/>
      <c r="H10" s="10"/>
      <c r="I10" s="10"/>
      <c r="J10" s="10"/>
      <c r="K10" s="10"/>
      <c r="L10" s="10"/>
    </row>
    <row r="11" spans="1:12" x14ac:dyDescent="0.2">
      <c r="A11" s="14"/>
      <c r="B11" s="11"/>
      <c r="C11" s="11"/>
      <c r="D11" s="16"/>
      <c r="E11" s="26"/>
      <c r="F11" s="16"/>
      <c r="G11" s="10"/>
      <c r="H11" s="10"/>
      <c r="I11" s="10"/>
      <c r="J11" s="10"/>
      <c r="K11" s="10"/>
      <c r="L11" s="10"/>
    </row>
    <row r="12" spans="1:12" x14ac:dyDescent="0.2">
      <c r="A12" s="14"/>
      <c r="B12" s="11"/>
      <c r="C12" s="11"/>
      <c r="D12" s="16"/>
      <c r="E12" s="26"/>
      <c r="F12" s="16"/>
      <c r="G12" s="10"/>
      <c r="H12" s="10"/>
      <c r="I12" s="10"/>
      <c r="J12" s="10"/>
      <c r="K12" s="10"/>
      <c r="L12" s="10"/>
    </row>
    <row r="13" spans="1:12" x14ac:dyDescent="0.2">
      <c r="A13" s="18" t="s">
        <v>292</v>
      </c>
      <c r="B13" s="11"/>
      <c r="C13" s="11"/>
      <c r="D13" s="16"/>
      <c r="E13" s="26"/>
      <c r="F13" s="16"/>
      <c r="G13" s="10"/>
      <c r="H13" s="10"/>
      <c r="I13" s="10"/>
      <c r="J13" s="10"/>
      <c r="K13" s="10"/>
      <c r="L13" s="10"/>
    </row>
    <row r="14" spans="1:12" x14ac:dyDescent="0.2">
      <c r="A14" s="10"/>
      <c r="B14" s="11"/>
      <c r="C14" s="11"/>
      <c r="D14" s="13"/>
      <c r="E14" s="12"/>
      <c r="F14" s="11"/>
      <c r="G14" s="10"/>
      <c r="H14" s="10"/>
      <c r="I14" s="10"/>
      <c r="J14" s="10"/>
      <c r="K14" s="10"/>
      <c r="L14" s="10"/>
    </row>
    <row r="15" spans="1:12" x14ac:dyDescent="0.2">
      <c r="A15" s="10" t="s">
        <v>158</v>
      </c>
      <c r="B15" s="13">
        <f>'DSP Flow'!H36</f>
        <v>7245.454545454546</v>
      </c>
      <c r="C15" s="11">
        <v>0.08</v>
      </c>
      <c r="D15" s="13">
        <f>B15*C15</f>
        <v>579.63636363636374</v>
      </c>
      <c r="E15" s="12">
        <f>D15/$B$1</f>
        <v>2.1545689170282389E-2</v>
      </c>
      <c r="F15" s="13">
        <f t="shared" ref="F15:F37" si="1">E15*1000</f>
        <v>21.54568917028239</v>
      </c>
      <c r="G15" s="10"/>
      <c r="H15" s="10"/>
      <c r="I15" s="10"/>
      <c r="J15" s="10"/>
      <c r="K15" s="10"/>
      <c r="L15" s="10"/>
    </row>
    <row r="16" spans="1:12" x14ac:dyDescent="0.2">
      <c r="A16" s="10"/>
      <c r="B16" s="11"/>
      <c r="C16" s="11"/>
      <c r="D16" s="13"/>
      <c r="E16" s="12"/>
      <c r="F16" s="13"/>
      <c r="G16" s="10"/>
      <c r="H16" s="10"/>
      <c r="I16" s="10"/>
      <c r="J16" s="10"/>
      <c r="K16" s="10"/>
      <c r="L16" s="10"/>
    </row>
    <row r="17" spans="1:12" x14ac:dyDescent="0.2">
      <c r="A17" s="10" t="s">
        <v>191</v>
      </c>
      <c r="B17" s="13">
        <f>'DSP Flow'!H44</f>
        <v>311288.42313085415</v>
      </c>
      <c r="C17" s="11">
        <v>1.0200000000000001E-2</v>
      </c>
      <c r="D17" s="13">
        <f>B17*C17</f>
        <v>3175.1419159347124</v>
      </c>
      <c r="E17" s="12">
        <f>D17/$B$1</f>
        <v>0.11802334201927638</v>
      </c>
      <c r="F17" s="13">
        <f t="shared" si="1"/>
        <v>118.02334201927637</v>
      </c>
      <c r="G17" s="10"/>
      <c r="H17" s="10"/>
      <c r="I17" s="10"/>
      <c r="J17" s="10"/>
      <c r="K17" s="10"/>
      <c r="L17" s="10"/>
    </row>
    <row r="18" spans="1:12" x14ac:dyDescent="0.2">
      <c r="A18" s="10"/>
      <c r="B18" s="13"/>
      <c r="C18" s="11"/>
      <c r="D18" s="13"/>
      <c r="E18" s="12"/>
      <c r="F18" s="13"/>
      <c r="G18" s="10"/>
      <c r="H18" s="10"/>
      <c r="I18" s="10"/>
      <c r="J18" s="10"/>
      <c r="K18" s="10"/>
      <c r="L18" s="10"/>
    </row>
    <row r="19" spans="1:12" x14ac:dyDescent="0.2">
      <c r="A19" s="10" t="s">
        <v>192</v>
      </c>
      <c r="B19" s="13">
        <f>'DSP Flow'!H52</f>
        <v>16921.354478526333</v>
      </c>
      <c r="C19" s="11">
        <v>0.08</v>
      </c>
      <c r="D19" s="13">
        <f>B19*C19</f>
        <v>1353.7083582821067</v>
      </c>
      <c r="E19" s="12">
        <f>D19/$B$1</f>
        <v>5.0318753867997938E-2</v>
      </c>
      <c r="F19" s="13">
        <f t="shared" si="1"/>
        <v>50.318753867997941</v>
      </c>
      <c r="G19" s="10"/>
      <c r="H19" s="10"/>
      <c r="I19" s="10"/>
      <c r="J19" s="10"/>
      <c r="K19" s="10"/>
      <c r="L19" s="10"/>
    </row>
    <row r="20" spans="1:12" x14ac:dyDescent="0.2">
      <c r="A20" s="10"/>
      <c r="B20" s="13"/>
      <c r="C20" s="11"/>
      <c r="D20" s="13"/>
      <c r="E20" s="12"/>
      <c r="F20" s="13"/>
      <c r="G20" s="10"/>
      <c r="H20" s="10"/>
      <c r="I20" s="10"/>
      <c r="J20" s="10"/>
      <c r="K20" s="10"/>
      <c r="L20" s="10"/>
    </row>
    <row r="21" spans="1:12" x14ac:dyDescent="0.2">
      <c r="A21" s="10" t="s">
        <v>4</v>
      </c>
      <c r="B21" s="13">
        <f>'DSP Flow'!H23</f>
        <v>393.80939329451439</v>
      </c>
      <c r="C21" s="12">
        <v>20</v>
      </c>
      <c r="D21" s="13">
        <f>B21*C21</f>
        <v>7876.1878658902879</v>
      </c>
      <c r="E21" s="12">
        <f>D21/$B$1</f>
        <v>0.29276613106296123</v>
      </c>
      <c r="F21" s="13">
        <f t="shared" si="1"/>
        <v>292.76613106296122</v>
      </c>
      <c r="G21" s="10"/>
      <c r="H21" s="10"/>
      <c r="I21" s="10"/>
      <c r="J21" s="10"/>
      <c r="K21" s="10"/>
      <c r="L21" s="10"/>
    </row>
    <row r="22" spans="1:12" x14ac:dyDescent="0.2">
      <c r="A22" s="10"/>
      <c r="B22" s="11"/>
      <c r="C22" s="11"/>
      <c r="D22" s="13"/>
      <c r="E22" s="12"/>
      <c r="F22" s="13"/>
      <c r="G22" s="10"/>
      <c r="H22" s="10"/>
      <c r="I22" s="10"/>
      <c r="J22" s="10"/>
      <c r="K22" s="10"/>
      <c r="L22" s="10"/>
    </row>
    <row r="23" spans="1:12" x14ac:dyDescent="0.2">
      <c r="A23" s="10" t="s">
        <v>159</v>
      </c>
      <c r="B23" s="13">
        <f>'DSP Flow'!E30/1000</f>
        <v>464.92083326258125</v>
      </c>
      <c r="C23" s="12">
        <v>7</v>
      </c>
      <c r="D23" s="13">
        <f>B23*C23</f>
        <v>3254.4458328380688</v>
      </c>
      <c r="E23" s="12">
        <f>D23/$B$1</f>
        <v>0.12097115145770827</v>
      </c>
      <c r="F23" s="13">
        <f t="shared" si="1"/>
        <v>120.97115145770827</v>
      </c>
      <c r="G23" s="10"/>
      <c r="H23" s="10"/>
      <c r="I23" s="10"/>
      <c r="J23" s="10"/>
      <c r="K23" s="10"/>
      <c r="L23" s="10"/>
    </row>
    <row r="24" spans="1:12" x14ac:dyDescent="0.2">
      <c r="A24" s="10"/>
      <c r="B24" s="11"/>
      <c r="C24" s="11"/>
      <c r="D24" s="13"/>
      <c r="E24" s="12"/>
      <c r="F24" s="13"/>
      <c r="G24" s="10"/>
      <c r="H24" s="10"/>
      <c r="I24" s="10"/>
      <c r="J24" s="10"/>
      <c r="K24" s="10"/>
      <c r="L24" s="10"/>
    </row>
    <row r="25" spans="1:12" x14ac:dyDescent="0.2">
      <c r="A25" s="10" t="s">
        <v>244</v>
      </c>
      <c r="B25" s="13">
        <f>'DSP Flow'!H4</f>
        <v>75</v>
      </c>
      <c r="C25" s="11">
        <v>150</v>
      </c>
      <c r="D25" s="13">
        <f>B25*C25</f>
        <v>11250</v>
      </c>
      <c r="E25" s="12">
        <f>D25/$B$1</f>
        <v>0.41817425263840102</v>
      </c>
      <c r="F25" s="13">
        <f t="shared" ref="F25" si="2">E25*1000</f>
        <v>418.17425263840101</v>
      </c>
      <c r="G25" s="10"/>
      <c r="H25" s="10"/>
      <c r="I25" s="10"/>
      <c r="J25" s="10"/>
      <c r="K25" s="10"/>
      <c r="L25" s="10"/>
    </row>
    <row r="26" spans="1:12" x14ac:dyDescent="0.2">
      <c r="A26" s="10"/>
      <c r="B26" s="13"/>
      <c r="C26" s="11"/>
      <c r="D26" s="13"/>
      <c r="E26" s="12"/>
      <c r="F26" s="13"/>
      <c r="G26" s="10"/>
      <c r="H26" s="10"/>
      <c r="I26" s="10"/>
      <c r="J26" s="10"/>
      <c r="K26" s="10"/>
      <c r="L26" s="10"/>
    </row>
    <row r="27" spans="1:12" x14ac:dyDescent="0.2">
      <c r="A27" s="10" t="s">
        <v>232</v>
      </c>
      <c r="B27" s="27">
        <f>'DSP Flow'!E62</f>
        <v>1.0476190476190477E-3</v>
      </c>
      <c r="C27" s="11">
        <f>B53*1000</f>
        <v>3000000</v>
      </c>
      <c r="D27" s="13">
        <f>B27*C27</f>
        <v>3142.8571428571431</v>
      </c>
      <c r="E27" s="12">
        <f>D27/$B$1</f>
        <v>0.11682328327675967</v>
      </c>
      <c r="F27" s="13">
        <f t="shared" si="1"/>
        <v>116.82328327675967</v>
      </c>
      <c r="G27" s="10"/>
      <c r="H27" s="10"/>
      <c r="I27" s="10"/>
      <c r="J27" s="10"/>
      <c r="K27" s="10"/>
      <c r="L27" s="10"/>
    </row>
    <row r="28" spans="1:12" x14ac:dyDescent="0.2">
      <c r="A28" s="10"/>
      <c r="B28" s="11"/>
      <c r="C28" s="11"/>
      <c r="D28" s="13"/>
      <c r="E28" s="10"/>
      <c r="F28" s="13"/>
      <c r="G28" s="10"/>
      <c r="H28" s="10"/>
      <c r="I28" s="10"/>
      <c r="J28" s="10"/>
      <c r="K28" s="10"/>
      <c r="L28" s="10"/>
    </row>
    <row r="29" spans="1:12" x14ac:dyDescent="0.2">
      <c r="A29" s="10" t="s">
        <v>228</v>
      </c>
      <c r="B29" s="13">
        <f>'DSP Flow'!E57</f>
        <v>457.6</v>
      </c>
      <c r="C29" s="12">
        <v>25</v>
      </c>
      <c r="D29" s="13">
        <f>B29*C29</f>
        <v>11440</v>
      </c>
      <c r="E29" s="12">
        <f>D29/$B$1</f>
        <v>0.42523675112740517</v>
      </c>
      <c r="F29" s="13">
        <f>E29*1000</f>
        <v>425.23675112740517</v>
      </c>
      <c r="G29" s="10"/>
      <c r="H29" s="10"/>
      <c r="I29" s="10"/>
      <c r="J29" s="10"/>
      <c r="K29" s="10"/>
      <c r="L29" s="10"/>
    </row>
    <row r="30" spans="1:12" x14ac:dyDescent="0.2">
      <c r="A30" s="10"/>
      <c r="B30" s="13"/>
      <c r="C30" s="12"/>
      <c r="D30" s="13"/>
      <c r="E30" s="10"/>
      <c r="F30" s="13"/>
      <c r="G30" s="10"/>
      <c r="H30" s="10"/>
      <c r="I30" s="10"/>
      <c r="J30" s="10"/>
      <c r="K30" s="10"/>
      <c r="L30" s="10"/>
    </row>
    <row r="31" spans="1:12" x14ac:dyDescent="0.2">
      <c r="A31" s="14" t="s">
        <v>86</v>
      </c>
      <c r="B31" s="11"/>
      <c r="C31" s="11"/>
      <c r="D31" s="16">
        <f>SUM(D15:D29)</f>
        <v>42071.977479438683</v>
      </c>
      <c r="E31" s="44">
        <f>SUM(E15:E29)</f>
        <v>1.563859354620792</v>
      </c>
      <c r="F31" s="16">
        <f t="shared" si="1"/>
        <v>1563.8593546207919</v>
      </c>
      <c r="G31" s="10"/>
      <c r="H31" s="10"/>
      <c r="I31" s="10"/>
      <c r="J31" s="10"/>
      <c r="K31" s="10"/>
      <c r="L31" s="10"/>
    </row>
    <row r="32" spans="1:12" x14ac:dyDescent="0.2">
      <c r="A32" s="14"/>
      <c r="B32" s="11"/>
      <c r="C32" s="11"/>
      <c r="D32" s="13"/>
      <c r="E32" s="44"/>
      <c r="F32" s="13"/>
      <c r="G32" s="10"/>
      <c r="H32" s="10"/>
      <c r="I32" s="10"/>
      <c r="J32" s="10"/>
      <c r="K32" s="10"/>
      <c r="L32" s="10"/>
    </row>
    <row r="33" spans="1:12" x14ac:dyDescent="0.2">
      <c r="A33" s="14" t="s">
        <v>229</v>
      </c>
      <c r="B33" s="16">
        <v>40</v>
      </c>
      <c r="C33" s="11"/>
      <c r="D33" s="16">
        <f>B33/100*D31</f>
        <v>16828.790991775473</v>
      </c>
      <c r="E33" s="44">
        <f>D33/$B$1</f>
        <v>0.62554374184831685</v>
      </c>
      <c r="F33" s="16">
        <f t="shared" si="1"/>
        <v>625.54374184831681</v>
      </c>
      <c r="G33" s="10"/>
      <c r="H33" s="10"/>
      <c r="I33" s="10"/>
      <c r="J33" s="10"/>
      <c r="K33" s="10"/>
      <c r="L33" s="10"/>
    </row>
    <row r="34" spans="1:12" x14ac:dyDescent="0.2">
      <c r="A34" s="14"/>
      <c r="B34" s="11"/>
      <c r="C34" s="11"/>
      <c r="D34" s="13"/>
      <c r="E34" s="44"/>
      <c r="F34" s="13"/>
      <c r="G34" s="10"/>
      <c r="H34" s="10"/>
      <c r="I34" s="10"/>
      <c r="J34" s="10"/>
      <c r="K34" s="10"/>
      <c r="L34" s="10"/>
    </row>
    <row r="35" spans="1:12" x14ac:dyDescent="0.2">
      <c r="A35" s="67" t="s">
        <v>160</v>
      </c>
      <c r="B35" s="13">
        <f>B8</f>
        <v>450000</v>
      </c>
      <c r="C35" s="22">
        <f t="shared" ref="C35:E35" si="3">C8</f>
        <v>0.21243693861111113</v>
      </c>
      <c r="D35" s="16">
        <f t="shared" si="3"/>
        <v>95596.622375000006</v>
      </c>
      <c r="E35" s="44">
        <f t="shared" si="3"/>
        <v>3.5534263214596509</v>
      </c>
      <c r="F35" s="16">
        <f t="shared" si="1"/>
        <v>3553.4263214596508</v>
      </c>
      <c r="G35" s="10"/>
      <c r="H35" s="10"/>
      <c r="I35" s="10"/>
      <c r="J35" s="10"/>
      <c r="K35" s="10"/>
      <c r="L35" s="10"/>
    </row>
    <row r="36" spans="1:12" x14ac:dyDescent="0.2">
      <c r="A36" s="14"/>
      <c r="B36" s="11"/>
      <c r="C36" s="11"/>
      <c r="D36" s="13"/>
      <c r="E36" s="44"/>
      <c r="F36" s="13"/>
      <c r="G36" s="10"/>
      <c r="H36" s="10"/>
      <c r="I36" s="10"/>
      <c r="J36" s="10"/>
      <c r="K36" s="10"/>
      <c r="L36" s="10"/>
    </row>
    <row r="37" spans="1:12" x14ac:dyDescent="0.2">
      <c r="A37" s="14" t="s">
        <v>1</v>
      </c>
      <c r="B37" s="11"/>
      <c r="C37" s="11"/>
      <c r="D37" s="16">
        <f>D31+D33+D35</f>
        <v>154497.39084621417</v>
      </c>
      <c r="E37" s="26">
        <f>E31+E33+E35</f>
        <v>5.7428294179287596</v>
      </c>
      <c r="F37" s="16">
        <f t="shared" si="1"/>
        <v>5742.8294179287595</v>
      </c>
      <c r="G37" s="10"/>
      <c r="H37" s="10"/>
      <c r="I37" s="10"/>
      <c r="J37" s="10"/>
      <c r="K37" s="10"/>
      <c r="L37" s="10"/>
    </row>
    <row r="38" spans="1:12" x14ac:dyDescent="0.2">
      <c r="A38" s="14"/>
      <c r="B38" s="11"/>
      <c r="C38" s="11"/>
      <c r="D38" s="13"/>
      <c r="E38" s="44"/>
      <c r="F38" s="11"/>
      <c r="G38" s="10"/>
      <c r="H38" s="10"/>
      <c r="I38" s="10"/>
      <c r="J38" s="10"/>
      <c r="K38" s="10"/>
      <c r="L38" s="10"/>
    </row>
    <row r="39" spans="1:12" x14ac:dyDescent="0.2">
      <c r="A39" s="10"/>
      <c r="B39" s="11"/>
      <c r="C39" s="11"/>
      <c r="D39" s="11"/>
      <c r="E39" s="10"/>
      <c r="F39" s="11"/>
      <c r="G39" s="10"/>
      <c r="H39" s="10"/>
      <c r="I39" s="10"/>
      <c r="J39" s="10"/>
      <c r="K39" s="10"/>
      <c r="L39" s="10"/>
    </row>
    <row r="40" spans="1:12" x14ac:dyDescent="0.2">
      <c r="A40" s="10"/>
      <c r="B40" s="11"/>
      <c r="C40" s="11"/>
      <c r="D40" s="11"/>
      <c r="E40" s="10"/>
      <c r="F40" s="11"/>
      <c r="G40" s="10"/>
      <c r="H40" s="10"/>
      <c r="I40" s="10"/>
      <c r="J40" s="10"/>
      <c r="K40" s="10"/>
      <c r="L40" s="10"/>
    </row>
    <row r="41" spans="1:12" x14ac:dyDescent="0.2">
      <c r="A41" s="10"/>
      <c r="B41" s="11"/>
      <c r="C41" s="15"/>
      <c r="D41" s="11"/>
      <c r="E41" s="10"/>
      <c r="F41" s="11"/>
      <c r="G41" s="10"/>
      <c r="H41" s="45"/>
      <c r="I41" s="10"/>
      <c r="J41" s="10"/>
      <c r="K41" s="10"/>
      <c r="L41" s="10"/>
    </row>
    <row r="42" spans="1:12" x14ac:dyDescent="0.2">
      <c r="A42" s="15" t="s">
        <v>161</v>
      </c>
      <c r="B42" s="15" t="s">
        <v>162</v>
      </c>
      <c r="C42" s="15"/>
      <c r="D42" s="11"/>
      <c r="E42" s="10"/>
      <c r="F42" s="11"/>
      <c r="G42" s="10"/>
      <c r="H42" s="10"/>
      <c r="I42" s="10"/>
      <c r="J42" s="10"/>
      <c r="K42" s="10"/>
      <c r="L42" s="10"/>
    </row>
    <row r="43" spans="1:12" x14ac:dyDescent="0.2">
      <c r="A43" s="10"/>
      <c r="B43" s="11"/>
      <c r="C43" s="11"/>
      <c r="D43" s="11"/>
      <c r="E43" s="10"/>
      <c r="F43" s="11"/>
      <c r="G43" s="10"/>
      <c r="H43" s="10"/>
      <c r="I43" s="10"/>
      <c r="J43" s="10"/>
      <c r="K43" s="10"/>
      <c r="L43" s="10"/>
    </row>
    <row r="44" spans="1:12" x14ac:dyDescent="0.2">
      <c r="A44" s="10" t="s">
        <v>209</v>
      </c>
      <c r="B44" s="11">
        <v>400</v>
      </c>
      <c r="C44" s="46" t="s">
        <v>210</v>
      </c>
      <c r="E44" s="46"/>
      <c r="F44" s="11"/>
      <c r="G44" s="10"/>
      <c r="H44" s="10"/>
      <c r="I44" s="10"/>
      <c r="J44" s="10"/>
      <c r="K44" s="10"/>
      <c r="L44" s="10"/>
    </row>
    <row r="45" spans="1:12" x14ac:dyDescent="0.2">
      <c r="A45" s="10"/>
      <c r="B45" s="11"/>
      <c r="C45" s="11"/>
      <c r="E45" s="10"/>
      <c r="F45" s="11"/>
      <c r="G45" s="10"/>
      <c r="H45" s="10"/>
      <c r="I45" s="10"/>
      <c r="J45" s="10"/>
      <c r="K45" s="10"/>
      <c r="L45" s="10"/>
    </row>
    <row r="46" spans="1:12" x14ac:dyDescent="0.2">
      <c r="A46" s="10" t="s">
        <v>231</v>
      </c>
      <c r="B46" s="11">
        <v>600</v>
      </c>
      <c r="C46" s="46" t="s">
        <v>233</v>
      </c>
      <c r="E46" s="46"/>
      <c r="F46" s="11"/>
      <c r="G46" s="10"/>
      <c r="H46" s="10"/>
      <c r="I46" s="10"/>
      <c r="J46" s="10"/>
      <c r="K46" s="10"/>
      <c r="L46" s="10"/>
    </row>
    <row r="47" spans="1:12" x14ac:dyDescent="0.2">
      <c r="A47" s="10"/>
      <c r="B47" s="11"/>
      <c r="C47" s="11"/>
      <c r="E47" s="10"/>
      <c r="F47" s="11"/>
      <c r="G47" s="10"/>
      <c r="H47" s="10"/>
      <c r="I47" s="10"/>
      <c r="J47" s="10"/>
      <c r="K47" s="10"/>
      <c r="L47" s="10"/>
    </row>
    <row r="48" spans="1:12" x14ac:dyDescent="0.2">
      <c r="A48" s="10" t="s">
        <v>230</v>
      </c>
      <c r="B48" s="11">
        <v>500</v>
      </c>
      <c r="C48" s="46" t="s">
        <v>234</v>
      </c>
      <c r="E48" s="46"/>
      <c r="F48" s="11"/>
      <c r="G48" s="46"/>
      <c r="H48" s="10"/>
      <c r="I48" s="10"/>
      <c r="J48" s="10"/>
      <c r="K48" s="10"/>
      <c r="L48" s="10"/>
    </row>
    <row r="49" spans="1:12" x14ac:dyDescent="0.2">
      <c r="A49" s="10"/>
      <c r="B49" s="11"/>
      <c r="C49" s="5"/>
      <c r="D49" s="11"/>
      <c r="E49" s="10"/>
      <c r="F49" s="11"/>
      <c r="G49" s="10"/>
      <c r="H49" s="10"/>
      <c r="I49" s="10"/>
      <c r="J49" s="10"/>
      <c r="K49" s="10"/>
      <c r="L49" s="10"/>
    </row>
    <row r="50" spans="1:12" x14ac:dyDescent="0.2">
      <c r="A50" s="10"/>
      <c r="B50" s="11"/>
      <c r="C50" s="11"/>
      <c r="D50" s="11"/>
      <c r="E50" s="10"/>
      <c r="F50" s="11"/>
      <c r="G50" s="10"/>
      <c r="H50" s="10"/>
      <c r="I50" s="10"/>
      <c r="J50" s="10"/>
      <c r="K50" s="10"/>
      <c r="L50" s="10"/>
    </row>
    <row r="51" spans="1:12" x14ac:dyDescent="0.2">
      <c r="A51" s="14" t="s">
        <v>1</v>
      </c>
      <c r="B51" s="16">
        <f>SUM(B44:B49)</f>
        <v>1500</v>
      </c>
      <c r="C51" s="46" t="s">
        <v>163</v>
      </c>
      <c r="D51" s="46"/>
      <c r="E51" s="10"/>
      <c r="F51" s="11"/>
      <c r="G51" s="10"/>
      <c r="H51" s="10"/>
      <c r="I51" s="10"/>
      <c r="J51" s="10"/>
      <c r="K51" s="10"/>
      <c r="L51" s="10"/>
    </row>
    <row r="52" spans="1:12" x14ac:dyDescent="0.2">
      <c r="A52" s="14"/>
      <c r="B52" s="16"/>
      <c r="C52" s="16"/>
      <c r="D52" s="11"/>
      <c r="E52" s="10"/>
      <c r="F52" s="11"/>
      <c r="G52" s="10"/>
      <c r="H52" s="10"/>
      <c r="I52" s="10"/>
      <c r="J52" s="10"/>
      <c r="K52" s="10"/>
      <c r="L52" s="10"/>
    </row>
    <row r="53" spans="1:12" x14ac:dyDescent="0.2">
      <c r="A53" s="47" t="s">
        <v>235</v>
      </c>
      <c r="B53" s="16">
        <f>B51*2</f>
        <v>3000</v>
      </c>
      <c r="C53" s="16"/>
      <c r="E53" s="10"/>
      <c r="F53" s="11"/>
      <c r="G53" s="10"/>
      <c r="H53" s="10"/>
      <c r="I53" s="10"/>
      <c r="J53" s="10"/>
      <c r="K53" s="10"/>
      <c r="L53" s="10"/>
    </row>
    <row r="54" spans="1:12" x14ac:dyDescent="0.2">
      <c r="F54" s="5"/>
    </row>
    <row r="55" spans="1:12" x14ac:dyDescent="0.2">
      <c r="F55" s="5"/>
    </row>
    <row r="56" spans="1:12" x14ac:dyDescent="0.2">
      <c r="F56" s="5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Objectives</vt:lpstr>
      <vt:lpstr>Assumptions</vt:lpstr>
      <vt:lpstr>Fermentation</vt:lpstr>
      <vt:lpstr>FERMOPEX</vt:lpstr>
      <vt:lpstr>DSP Flow</vt:lpstr>
      <vt:lpstr>DSP OPEX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Versaw</dc:creator>
  <cp:lastModifiedBy>Microsoft Office User</cp:lastModifiedBy>
  <cp:lastPrinted>2016-07-15T14:59:33Z</cp:lastPrinted>
  <dcterms:created xsi:type="dcterms:W3CDTF">2016-06-24T11:11:55Z</dcterms:created>
  <dcterms:modified xsi:type="dcterms:W3CDTF">2016-12-17T00:46:36Z</dcterms:modified>
</cp:coreProperties>
</file>